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8735" windowHeight="11640" tabRatio="717" activeTab="1"/>
  </bookViews>
  <sheets>
    <sheet name="Прил 7" sheetId="8" r:id="rId1"/>
    <sheet name="Прил 8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 7'!$6:$9</definedName>
    <definedName name="кат">#REF!</definedName>
    <definedName name="М1">[7]ПРОГНОЗ_1!#REF!</definedName>
    <definedName name="Мониторинг1">'[8]Гр5(о)'!#REF!</definedName>
    <definedName name="_xlnm.Print_Area" localSheetId="1">'Прил 8'!$A$1:$P$51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M37" i="9"/>
  <c r="K37"/>
  <c r="J37"/>
  <c r="I37"/>
  <c r="H37"/>
  <c r="G37"/>
  <c r="F37"/>
  <c r="R74" i="8"/>
  <c r="U43"/>
  <c r="T43"/>
  <c r="S43"/>
  <c r="R43"/>
  <c r="Q43"/>
  <c r="P43"/>
  <c r="O43"/>
  <c r="N43"/>
  <c r="M43"/>
  <c r="L43"/>
  <c r="U97"/>
  <c r="T97"/>
  <c r="S97"/>
  <c r="R97"/>
  <c r="Q97"/>
  <c r="P97"/>
  <c r="O97"/>
  <c r="O96" s="1"/>
  <c r="O94" s="1"/>
  <c r="N97"/>
  <c r="N96" s="1"/>
  <c r="N94" s="1"/>
  <c r="M97"/>
  <c r="M96" s="1"/>
  <c r="M94" s="1"/>
  <c r="L97"/>
  <c r="L96" s="1"/>
  <c r="L94" s="1"/>
  <c r="J43"/>
  <c r="K104"/>
  <c r="J104"/>
  <c r="K97"/>
  <c r="K96" s="1"/>
  <c r="J97"/>
  <c r="J96" s="1"/>
  <c r="J94" s="1"/>
  <c r="U74"/>
  <c r="T74"/>
  <c r="S74"/>
  <c r="Q74"/>
  <c r="P74"/>
  <c r="O74"/>
  <c r="N74"/>
  <c r="M74"/>
  <c r="L74"/>
  <c r="K74"/>
  <c r="J74"/>
  <c r="K43" l="1"/>
  <c r="K12" s="1"/>
  <c r="K94"/>
  <c r="J12"/>
  <c r="L12"/>
  <c r="M12"/>
  <c r="N12"/>
  <c r="O12"/>
  <c r="Q104"/>
  <c r="Q96" s="1"/>
  <c r="P104"/>
  <c r="P96" s="1"/>
  <c r="Q77"/>
  <c r="P77"/>
  <c r="P94" l="1"/>
  <c r="P12"/>
  <c r="Q94"/>
  <c r="Q12"/>
  <c r="U77"/>
  <c r="T77"/>
  <c r="S77"/>
  <c r="R77"/>
  <c r="K77"/>
  <c r="J77"/>
  <c r="U104"/>
  <c r="U96" s="1"/>
  <c r="T104"/>
  <c r="T96" s="1"/>
  <c r="S104"/>
  <c r="S96" s="1"/>
  <c r="R104"/>
  <c r="R96" s="1"/>
  <c r="R94" l="1"/>
  <c r="R12"/>
  <c r="S94"/>
  <c r="S12"/>
  <c r="T94"/>
  <c r="T12"/>
  <c r="U94"/>
  <c r="U12"/>
  <c r="U38"/>
  <c r="T38"/>
  <c r="L23" i="9"/>
  <c r="S16" i="8"/>
  <c r="S63"/>
  <c r="S38"/>
  <c r="S57"/>
  <c r="S48"/>
  <c r="S44" s="1"/>
  <c r="J35" i="9"/>
  <c r="J21"/>
  <c r="P91" i="8"/>
  <c r="Q88"/>
  <c r="Q60"/>
  <c r="Q63"/>
  <c r="Q57"/>
  <c r="Q54"/>
  <c r="Q51"/>
  <c r="Q48"/>
  <c r="Q47"/>
  <c r="Q37"/>
  <c r="Q22"/>
  <c r="Q19"/>
  <c r="J28" i="9"/>
  <c r="P60" i="8"/>
  <c r="P88"/>
  <c r="L16"/>
  <c r="O88"/>
  <c r="O63"/>
  <c r="O60"/>
  <c r="O57"/>
  <c r="O54"/>
  <c r="O51"/>
  <c r="O48"/>
  <c r="O47"/>
  <c r="O22"/>
  <c r="O19"/>
  <c r="N18" i="9"/>
  <c r="L18"/>
  <c r="J19"/>
  <c r="H19"/>
  <c r="P37" i="8"/>
  <c r="N37"/>
  <c r="T34"/>
  <c r="R34"/>
  <c r="R16" s="1"/>
  <c r="H35" i="9"/>
  <c r="N91" i="8"/>
  <c r="H21" i="9"/>
  <c r="P66" i="8" l="1"/>
  <c r="R38"/>
  <c r="Q38"/>
  <c r="Q16" s="1"/>
  <c r="P38"/>
  <c r="R93" l="1"/>
  <c r="P93"/>
  <c r="R92"/>
  <c r="P92"/>
  <c r="R63"/>
  <c r="P63"/>
  <c r="N63"/>
  <c r="N60"/>
  <c r="R57"/>
  <c r="P57"/>
  <c r="N57"/>
  <c r="P54"/>
  <c r="N54"/>
  <c r="P51"/>
  <c r="N51"/>
  <c r="R48"/>
  <c r="P48"/>
  <c r="N48"/>
  <c r="P47" l="1"/>
  <c r="N47"/>
  <c r="P22"/>
  <c r="N22"/>
  <c r="P19"/>
  <c r="P16" s="1"/>
  <c r="N19"/>
  <c r="N16" s="1"/>
  <c r="N88"/>
  <c r="U44"/>
  <c r="T44"/>
  <c r="R44"/>
  <c r="Q44"/>
  <c r="O44"/>
  <c r="N44"/>
  <c r="M44"/>
  <c r="L44"/>
  <c r="P44"/>
  <c r="U32"/>
  <c r="T32"/>
  <c r="S32"/>
  <c r="R32"/>
  <c r="Q32"/>
  <c r="P32"/>
  <c r="O32"/>
  <c r="N32"/>
  <c r="M32"/>
  <c r="L32"/>
  <c r="U45"/>
  <c r="T45"/>
  <c r="S45"/>
  <c r="R45"/>
  <c r="Q45"/>
  <c r="P45"/>
  <c r="O45"/>
  <c r="M45"/>
  <c r="E37" i="9"/>
  <c r="D37"/>
  <c r="E30"/>
  <c r="D30"/>
  <c r="E23"/>
  <c r="D23"/>
  <c r="E16"/>
  <c r="D16"/>
  <c r="E15"/>
  <c r="D15"/>
  <c r="E14"/>
  <c r="D14"/>
  <c r="E13"/>
  <c r="D13"/>
  <c r="E12"/>
  <c r="D12"/>
  <c r="E11"/>
  <c r="D11"/>
  <c r="E10"/>
  <c r="D10"/>
  <c r="E9"/>
  <c r="D9"/>
  <c r="U16" i="8"/>
  <c r="T16"/>
  <c r="L45"/>
  <c r="N45"/>
  <c r="K89" l="1"/>
  <c r="J89"/>
  <c r="K86"/>
  <c r="J86"/>
  <c r="J85" s="1"/>
  <c r="K85"/>
  <c r="K83"/>
  <c r="K80"/>
  <c r="J80"/>
  <c r="K71"/>
  <c r="J71"/>
  <c r="K67"/>
  <c r="J67"/>
  <c r="K64"/>
  <c r="J64"/>
  <c r="K61"/>
  <c r="J61"/>
  <c r="K58"/>
  <c r="J58"/>
  <c r="K55"/>
  <c r="J55"/>
  <c r="K52"/>
  <c r="J52"/>
  <c r="K49"/>
  <c r="J49"/>
  <c r="K45"/>
  <c r="K41" s="1"/>
  <c r="J45"/>
  <c r="J41" s="1"/>
  <c r="K44"/>
  <c r="J44"/>
  <c r="K35"/>
  <c r="J35"/>
  <c r="K29"/>
  <c r="J29"/>
  <c r="K26"/>
  <c r="J26"/>
  <c r="K23"/>
  <c r="J23"/>
  <c r="K20"/>
  <c r="J20"/>
  <c r="K17"/>
  <c r="J17"/>
  <c r="K16"/>
  <c r="J16"/>
  <c r="K14"/>
  <c r="J14"/>
  <c r="K13"/>
  <c r="K10" s="1"/>
  <c r="J83" l="1"/>
  <c r="J13"/>
  <c r="J10" s="1"/>
  <c r="U80"/>
  <c r="T80"/>
  <c r="S80"/>
  <c r="R80"/>
  <c r="Q80"/>
  <c r="P80"/>
  <c r="O80"/>
  <c r="N80"/>
  <c r="M80"/>
  <c r="L80"/>
  <c r="U71"/>
  <c r="T71"/>
  <c r="S71"/>
  <c r="R71"/>
  <c r="Q71"/>
  <c r="P71"/>
  <c r="O71"/>
  <c r="N71"/>
  <c r="M71"/>
  <c r="L71"/>
  <c r="R23" l="1"/>
  <c r="J14" i="9"/>
  <c r="H14"/>
  <c r="O37"/>
  <c r="N37"/>
  <c r="L37"/>
  <c r="O30"/>
  <c r="N30"/>
  <c r="M30"/>
  <c r="L30"/>
  <c r="K30"/>
  <c r="J30"/>
  <c r="I30"/>
  <c r="H30"/>
  <c r="G30"/>
  <c r="F30"/>
  <c r="O23"/>
  <c r="N23"/>
  <c r="M23"/>
  <c r="K23"/>
  <c r="J23"/>
  <c r="I23"/>
  <c r="H23"/>
  <c r="G23"/>
  <c r="F23"/>
  <c r="O16"/>
  <c r="N16"/>
  <c r="M16"/>
  <c r="L16"/>
  <c r="K16"/>
  <c r="I16"/>
  <c r="H16"/>
  <c r="G16"/>
  <c r="F16"/>
  <c r="O15"/>
  <c r="N15"/>
  <c r="M15"/>
  <c r="L15"/>
  <c r="K15"/>
  <c r="J15"/>
  <c r="I15"/>
  <c r="H15"/>
  <c r="G15"/>
  <c r="F15"/>
  <c r="O14"/>
  <c r="N14"/>
  <c r="M14"/>
  <c r="L14"/>
  <c r="K14"/>
  <c r="I14"/>
  <c r="G14"/>
  <c r="F14"/>
  <c r="O13"/>
  <c r="N13"/>
  <c r="M13"/>
  <c r="L13"/>
  <c r="K13"/>
  <c r="J13"/>
  <c r="I13"/>
  <c r="H13"/>
  <c r="G13"/>
  <c r="F13"/>
  <c r="O12"/>
  <c r="N12"/>
  <c r="M12"/>
  <c r="L12"/>
  <c r="K12"/>
  <c r="J12"/>
  <c r="I12"/>
  <c r="H12"/>
  <c r="G12"/>
  <c r="F12"/>
  <c r="O11"/>
  <c r="N11"/>
  <c r="M11"/>
  <c r="L11"/>
  <c r="K11"/>
  <c r="J11"/>
  <c r="I11"/>
  <c r="H11"/>
  <c r="G11"/>
  <c r="F11"/>
  <c r="O10"/>
  <c r="N10"/>
  <c r="M10"/>
  <c r="L10"/>
  <c r="K10"/>
  <c r="J10"/>
  <c r="I10"/>
  <c r="H10"/>
  <c r="G10"/>
  <c r="F10"/>
  <c r="N9"/>
  <c r="G9" l="1"/>
  <c r="K9"/>
  <c r="O9"/>
  <c r="L9"/>
  <c r="M9"/>
  <c r="J16"/>
  <c r="I9"/>
  <c r="J9"/>
  <c r="H9"/>
  <c r="F9"/>
  <c r="M16" i="8"/>
  <c r="O16"/>
  <c r="U17"/>
  <c r="T17"/>
  <c r="S17"/>
  <c r="R17"/>
  <c r="Q17"/>
  <c r="P17"/>
  <c r="O17"/>
  <c r="N17"/>
  <c r="M17"/>
  <c r="L17"/>
  <c r="U20"/>
  <c r="T20"/>
  <c r="S20"/>
  <c r="R20"/>
  <c r="Q20"/>
  <c r="P20"/>
  <c r="O20"/>
  <c r="N20"/>
  <c r="M20"/>
  <c r="L20"/>
  <c r="U23"/>
  <c r="T23"/>
  <c r="S23"/>
  <c r="Q23"/>
  <c r="P23"/>
  <c r="O23"/>
  <c r="N23"/>
  <c r="M23"/>
  <c r="L23"/>
  <c r="U26"/>
  <c r="T26"/>
  <c r="S26"/>
  <c r="R26"/>
  <c r="Q26"/>
  <c r="P26"/>
  <c r="O26"/>
  <c r="N26"/>
  <c r="M26"/>
  <c r="L26"/>
  <c r="U29"/>
  <c r="T29"/>
  <c r="S29"/>
  <c r="R29"/>
  <c r="Q29"/>
  <c r="P29"/>
  <c r="O29"/>
  <c r="N29"/>
  <c r="M29"/>
  <c r="L29"/>
  <c r="U35"/>
  <c r="T35"/>
  <c r="S35"/>
  <c r="R35"/>
  <c r="Q35"/>
  <c r="P35"/>
  <c r="O35"/>
  <c r="N35"/>
  <c r="M35"/>
  <c r="L35"/>
  <c r="U49"/>
  <c r="T49"/>
  <c r="S49"/>
  <c r="R49"/>
  <c r="Q49"/>
  <c r="P49"/>
  <c r="O49"/>
  <c r="N49"/>
  <c r="M49"/>
  <c r="L49"/>
  <c r="U52"/>
  <c r="T52"/>
  <c r="S52"/>
  <c r="R52"/>
  <c r="Q52"/>
  <c r="P52"/>
  <c r="O52"/>
  <c r="N52"/>
  <c r="M52"/>
  <c r="L52"/>
  <c r="U55"/>
  <c r="T55"/>
  <c r="S55"/>
  <c r="R55"/>
  <c r="Q55"/>
  <c r="P55"/>
  <c r="O55"/>
  <c r="N55"/>
  <c r="M55"/>
  <c r="L55"/>
  <c r="U58"/>
  <c r="T58"/>
  <c r="S58"/>
  <c r="R58"/>
  <c r="Q58"/>
  <c r="P58"/>
  <c r="O58"/>
  <c r="N58"/>
  <c r="M58"/>
  <c r="L58"/>
  <c r="U61"/>
  <c r="T61"/>
  <c r="S61"/>
  <c r="R61"/>
  <c r="Q61"/>
  <c r="P61"/>
  <c r="O61"/>
  <c r="N61"/>
  <c r="M61"/>
  <c r="L61"/>
  <c r="M64"/>
  <c r="N64"/>
  <c r="O64"/>
  <c r="P64"/>
  <c r="Q64"/>
  <c r="R64"/>
  <c r="S64"/>
  <c r="T64"/>
  <c r="U64"/>
  <c r="L64"/>
  <c r="M67"/>
  <c r="N67"/>
  <c r="O67"/>
  <c r="P67"/>
  <c r="Q67"/>
  <c r="R67"/>
  <c r="S67"/>
  <c r="T67"/>
  <c r="U67"/>
  <c r="L67"/>
  <c r="M86"/>
  <c r="N86"/>
  <c r="O86"/>
  <c r="P86"/>
  <c r="Q86"/>
  <c r="R86"/>
  <c r="S86"/>
  <c r="T86"/>
  <c r="U86"/>
  <c r="L86"/>
  <c r="M89"/>
  <c r="N89"/>
  <c r="O89"/>
  <c r="P89"/>
  <c r="Q89"/>
  <c r="R89"/>
  <c r="S89"/>
  <c r="T89"/>
  <c r="U89"/>
  <c r="L89"/>
  <c r="L41" l="1"/>
  <c r="M41"/>
  <c r="N41"/>
  <c r="O41"/>
  <c r="P41"/>
  <c r="Q41"/>
  <c r="R41"/>
  <c r="S41"/>
  <c r="T41"/>
  <c r="U41"/>
  <c r="L14"/>
  <c r="P14"/>
  <c r="Q14"/>
  <c r="S14"/>
  <c r="T14"/>
  <c r="U14"/>
  <c r="R14"/>
  <c r="N14"/>
  <c r="O14"/>
  <c r="T85"/>
  <c r="T83" s="1"/>
  <c r="P85"/>
  <c r="L85"/>
  <c r="R85"/>
  <c r="R13" s="1"/>
  <c r="R10" s="1"/>
  <c r="N85"/>
  <c r="N83" s="1"/>
  <c r="U85"/>
  <c r="U83" s="1"/>
  <c r="Q85"/>
  <c r="Q83" s="1"/>
  <c r="M85"/>
  <c r="M83" s="1"/>
  <c r="S85"/>
  <c r="O85"/>
  <c r="O83" s="1"/>
  <c r="M14"/>
  <c r="S83" l="1"/>
  <c r="S13"/>
  <c r="S10" s="1"/>
  <c r="L83"/>
  <c r="L13"/>
  <c r="L10" s="1"/>
  <c r="R83"/>
  <c r="P83"/>
  <c r="P13"/>
  <c r="P10" s="1"/>
  <c r="N13"/>
  <c r="N10" s="1"/>
  <c r="U13"/>
  <c r="U10" s="1"/>
  <c r="Q13"/>
  <c r="Q10" s="1"/>
  <c r="O13"/>
  <c r="O10" s="1"/>
  <c r="T13"/>
  <c r="T10" s="1"/>
  <c r="M13"/>
  <c r="M10" s="1"/>
</calcChain>
</file>

<file path=xl/sharedStrings.xml><?xml version="1.0" encoding="utf-8"?>
<sst xmlns="http://schemas.openxmlformats.org/spreadsheetml/2006/main" count="342" uniqueCount="131">
  <si>
    <t>Наименование  программы, подпрограммы</t>
  </si>
  <si>
    <t>ГРБС</t>
  </si>
  <si>
    <t>РзПр</t>
  </si>
  <si>
    <t>ЦСР</t>
  </si>
  <si>
    <t>ВР</t>
  </si>
  <si>
    <t>Наименование ГРБС</t>
  </si>
  <si>
    <t xml:space="preserve">Код бюджетной классификации </t>
  </si>
  <si>
    <t>всего расходные обязательства по программе</t>
  </si>
  <si>
    <t>в том числе по ГРБС:</t>
  </si>
  <si>
    <t>Подпрограмма 1</t>
  </si>
  <si>
    <t>Культурное наследие</t>
  </si>
  <si>
    <t>всего расходные обязательства по подпрограмме</t>
  </si>
  <si>
    <t>Подпрограмма 2</t>
  </si>
  <si>
    <t>Подпрограмма 3</t>
  </si>
  <si>
    <t>Муниципальная программа</t>
  </si>
  <si>
    <t>МКУ "Управление культуры"</t>
  </si>
  <si>
    <t>Обеспечение условий реализации программы и прочие мероприятия</t>
  </si>
  <si>
    <t>Организация культурно-досуговых мероприятий на базе парка культуры и отдыха</t>
  </si>
  <si>
    <t>Демонстрация коллекций домашних и диких животных, птиц и прочих видов фауны</t>
  </si>
  <si>
    <t>Приобщение населения к культурным ценностям посредством театрального искусства (театрально-зрелищное обслуживание)</t>
  </si>
  <si>
    <t>Проведение городских праздничных мероприятий, фестивалей-конкурсов, мероприятий к памятным датам, Всероссийских праздников, празднования дня оснований города</t>
  </si>
  <si>
    <t>Обеспечение реализации муниципальной программы</t>
  </si>
  <si>
    <t>Библиотечное обслуживание населения и обеспечение сохранности библиотечного фонда</t>
  </si>
  <si>
    <t>733</t>
  </si>
  <si>
    <t>0800000</t>
  </si>
  <si>
    <t>0810000</t>
  </si>
  <si>
    <t>0810001</t>
  </si>
  <si>
    <t>0810002</t>
  </si>
  <si>
    <t>0820000</t>
  </si>
  <si>
    <t>0820001</t>
  </si>
  <si>
    <t>0820002</t>
  </si>
  <si>
    <t>0820003</t>
  </si>
  <si>
    <t>0820004</t>
  </si>
  <si>
    <t>0820005</t>
  </si>
  <si>
    <t>0820006</t>
  </si>
  <si>
    <t>0820007</t>
  </si>
  <si>
    <t>0820008</t>
  </si>
  <si>
    <t>0830000</t>
  </si>
  <si>
    <t>0830001</t>
  </si>
  <si>
    <t>0830002</t>
  </si>
  <si>
    <t xml:space="preserve">Предоставление дополнительного образования детей в муниципальных образовательных учреждениях дополнительного образования детей в области культуры, расположенных на территории ЗАТО Железногорск </t>
  </si>
  <si>
    <t>Досуг, искусство и народное творчество</t>
  </si>
  <si>
    <t>Организация меро-приятий исполнительского характера (в том числе концертных программ, бенефисов, творческих вечеров, спектаклей)</t>
  </si>
  <si>
    <t>Обеспечение развития творческого потенциала населения (организация работы клубных формирований)</t>
  </si>
  <si>
    <t>Софинансирование расходов на оснащение муниципальных музеев и библиотек Красноярского края программным обеспечением, в том числе для ведения электронного каталога</t>
  </si>
  <si>
    <t>Софинансирование расходов на комплектование книжных фондов библиотек муниципальных образований Красноярского края</t>
  </si>
  <si>
    <t xml:space="preserve">Оснащение муниципальных музеев и библиотек Красноярского края программным обеспечением, в том числе для ведения электронного каталога </t>
  </si>
  <si>
    <t>0810004</t>
  </si>
  <si>
    <t>0817485</t>
  </si>
  <si>
    <t>Комплектование книжных фондов библиотек муниципальных образований Красноярского края</t>
  </si>
  <si>
    <t>0817488</t>
  </si>
  <si>
    <t>0810003</t>
  </si>
  <si>
    <t>Расходы по годам</t>
  </si>
  <si>
    <t>Плановый период</t>
  </si>
  <si>
    <t>январь-сентябрь</t>
  </si>
  <si>
    <t>значение на конец года</t>
  </si>
  <si>
    <t>план</t>
  </si>
  <si>
    <t>факт</t>
  </si>
  <si>
    <t>Примечание</t>
  </si>
  <si>
    <t>январь-март</t>
  </si>
  <si>
    <t>январь-июнь</t>
  </si>
  <si>
    <t>Приложение № 7</t>
  </si>
  <si>
    <t>к Порядку принятия решений о разработке,  формировании и реализации муниципальных программ ЗАТО Железногорск</t>
  </si>
  <si>
    <t>Предоставление доступа к музейным коллекциям (фондам)</t>
  </si>
  <si>
    <t>рублей</t>
  </si>
  <si>
    <r>
      <t xml:space="preserve">Статус </t>
    </r>
    <r>
      <rPr>
        <sz val="10"/>
        <rFont val="Times New Roman"/>
        <family val="1"/>
        <charset val="204"/>
      </rPr>
      <t>(муниципальная программа, подпрограмма)</t>
    </r>
  </si>
  <si>
    <t>0801</t>
  </si>
  <si>
    <t>0804</t>
  </si>
  <si>
    <t>0702</t>
  </si>
  <si>
    <t>ИНФОРМАЦИЯ
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</si>
  <si>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Приложение № 8</t>
  </si>
  <si>
    <t xml:space="preserve">ИНФОРМАЦИЯ
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</si>
  <si>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</si>
  <si>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</si>
  <si>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</si>
  <si>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</si>
  <si>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>январь - март</t>
  </si>
  <si>
    <t>январь - июнь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</si>
  <si>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</si>
  <si>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</si>
  <si>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</si>
  <si>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</si>
  <si>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</si>
  <si>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</si>
  <si>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</si>
  <si>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4</t>
  </si>
  <si>
    <t>Развитие архивного дела</t>
  </si>
  <si>
    <t>Организация и проведение общегородских и массовых мероприятий в сфере культуры (в том числе городских  праздников, народных гуляний, мероприятий, посвященных красным датам календаря, юбилейных городских событий)</t>
  </si>
  <si>
    <t>Поддержка социокультурных проектов муниципальных учреждений культуры и образовательных учреждений в области культуры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</si>
  <si>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</t>
  </si>
  <si>
    <t>0827481</t>
  </si>
  <si>
    <t xml:space="preserve">"Развитие культуры ЗАТО Железногорск" </t>
  </si>
  <si>
    <t>2014 (отчетный год)</t>
  </si>
  <si>
    <t>2015 (текущий год)</t>
  </si>
  <si>
    <t>2016</t>
  </si>
  <si>
    <t>2017</t>
  </si>
  <si>
    <t xml:space="preserve">Комплектование книжных фондов библиотек </t>
  </si>
  <si>
    <t>0815144</t>
  </si>
  <si>
    <t>621</t>
  </si>
  <si>
    <t>Резерв средств на софинансирование мероприятий по краевым программам в рамках подпрограммы "Досуг, искусство и народное творчество"</t>
  </si>
  <si>
    <t>870</t>
  </si>
  <si>
    <t xml:space="preserve">Софинансирование расходов на комплектование книжных фондов библиотек </t>
  </si>
  <si>
    <t>0810005</t>
  </si>
  <si>
    <t>Исполнитель</t>
  </si>
  <si>
    <t xml:space="preserve"> 2015 год</t>
  </si>
  <si>
    <t>2015 год</t>
  </si>
  <si>
    <t>Неиспользованные средства по городским праздничным мероприятиям возвращены в бюджет: МБУК ДК Старт - 350,14 руб. - начисления на страховые взносы на оплату по договорам по городским праздничным мероприятиям, МБУК ДК - 1 руб.</t>
  </si>
  <si>
    <t>Остаток средств по МКУ "Управление культуры" в сумме 11453,24 руб. перечислен в бюджет: ст.213 - 8084,29 - начисления на зарплату, ст.223 - 3428,15 --коммунальные платежи</t>
  </si>
  <si>
    <t>Администрация ЗАТО 
г. Железногорск</t>
  </si>
  <si>
    <t>Администрация ЗАТО г. Железногорск</t>
  </si>
  <si>
    <t>Выполнение работ по обеспечению проведения праздников на территории ЗАТО Железногорск</t>
  </si>
  <si>
    <t>Капитальный ремонт здания ДК "Старт"</t>
  </si>
  <si>
    <t>Пополнение фондов архива и эффективное использование архивных документов</t>
  </si>
  <si>
    <t>0840001</t>
  </si>
  <si>
    <t>009</t>
  </si>
  <si>
    <t>Капитальный ремонт здания по ул. Свердлова, 51а</t>
  </si>
  <si>
    <t xml:space="preserve">всего  расходные обязательства        </t>
  </si>
  <si>
    <t xml:space="preserve">в  том  числе по ГРБС: </t>
  </si>
  <si>
    <t>0113</t>
  </si>
  <si>
    <t>0840003</t>
  </si>
  <si>
    <t>243</t>
  </si>
  <si>
    <t>0820010</t>
  </si>
  <si>
    <t>Экономия после проведения аукциона</t>
  </si>
  <si>
    <t>0820009</t>
  </si>
  <si>
    <t>Значение фактических цифр отличается от плановых, в связи с тем, что оплата услуг  за поставленную тепловую энергию в декабре осуществляется в январе следующего финансового года.</t>
  </si>
  <si>
    <t>Остаток средств по МКУ "Управление культуры" в сумме 11513,24 руб. перечислен в бюджет: ст.213 - 8084,29 - начисления на зарплату, ст.223 - 3428,15 --коммунальные платежи</t>
  </si>
  <si>
    <t>Голофаст Татьяна Вячеславовна, 72-27-42</t>
  </si>
  <si>
    <t xml:space="preserve">Главный специалист по культуре
и молодежной политике 
Администрации ЗАТО г. Железногорск
</t>
  </si>
  <si>
    <t>Е.В. Парфёнова</t>
  </si>
  <si>
    <t>Главный специалист по культуре
и молодежной политике 
Администрации ЗАТО г. Железногорск</t>
  </si>
  <si>
    <t>Экономия за счет фактически выполненных работ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</si>
</sst>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000"/>
    <numFmt numFmtId="167" formatCode="#,##0.00_р_."/>
  </numFmts>
  <fonts count="25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274">
    <xf numFmtId="0" fontId="0" fillId="0" borderId="0" xfId="0"/>
    <xf numFmtId="0" fontId="2" fillId="0" borderId="0" xfId="0" applyFont="1" applyFill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165" fontId="5" fillId="0" borderId="0" xfId="0" applyNumberFormat="1" applyFont="1" applyFill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4" fontId="16" fillId="0" borderId="4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166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Alignment="1">
      <alignment vertical="center" wrapText="1"/>
    </xf>
    <xf numFmtId="4" fontId="16" fillId="0" borderId="4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2" fillId="0" borderId="2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vertical="center"/>
    </xf>
    <xf numFmtId="0" fontId="4" fillId="0" borderId="0" xfId="0" applyFont="1" applyFill="1"/>
    <xf numFmtId="0" fontId="10" fillId="0" borderId="0" xfId="0" applyFont="1" applyFill="1"/>
    <xf numFmtId="0" fontId="4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vertical="center" wrapText="1"/>
    </xf>
    <xf numFmtId="4" fontId="7" fillId="0" borderId="9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7" fillId="0" borderId="9" xfId="0" applyNumberFormat="1" applyFont="1" applyFill="1" applyBorder="1" applyAlignment="1">
      <alignment vertical="center" wrapText="1"/>
    </xf>
    <xf numFmtId="4" fontId="7" fillId="0" borderId="9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7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vertical="center" wrapText="1"/>
    </xf>
    <xf numFmtId="4" fontId="7" fillId="2" borderId="7" xfId="0" applyNumberFormat="1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4" fontId="13" fillId="2" borderId="7" xfId="0" applyNumberFormat="1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vertical="center" wrapText="1"/>
    </xf>
    <xf numFmtId="4" fontId="7" fillId="2" borderId="9" xfId="0" applyNumberFormat="1" applyFont="1" applyFill="1" applyBorder="1" applyAlignment="1">
      <alignment horizontal="right" vertical="center" wrapText="1"/>
    </xf>
    <xf numFmtId="4" fontId="13" fillId="2" borderId="13" xfId="0" applyNumberFormat="1" applyFont="1" applyFill="1" applyBorder="1" applyAlignment="1">
      <alignment horizontal="right" vertical="center" wrapText="1"/>
    </xf>
    <xf numFmtId="4" fontId="7" fillId="0" borderId="11" xfId="0" applyNumberFormat="1" applyFont="1" applyFill="1" applyBorder="1" applyAlignment="1">
      <alignment horizontal="right" vertical="center" wrapText="1"/>
    </xf>
    <xf numFmtId="4" fontId="7" fillId="2" borderId="1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wrapText="1"/>
    </xf>
    <xf numFmtId="4" fontId="7" fillId="2" borderId="17" xfId="0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>
      <alignment horizontal="right" vertical="center" wrapText="1"/>
    </xf>
    <xf numFmtId="4" fontId="7" fillId="0" borderId="14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wrapText="1"/>
    </xf>
    <xf numFmtId="4" fontId="16" fillId="0" borderId="4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right" vertical="top" wrapText="1"/>
    </xf>
    <xf numFmtId="164" fontId="22" fillId="3" borderId="1" xfId="0" applyNumberFormat="1" applyFont="1" applyFill="1" applyBorder="1" applyAlignment="1">
      <alignment horizontal="right" vertical="top" wrapText="1"/>
    </xf>
    <xf numFmtId="164" fontId="2" fillId="0" borderId="3" xfId="0" applyNumberFormat="1" applyFont="1" applyFill="1" applyBorder="1" applyAlignment="1">
      <alignment vertical="center" wrapText="1"/>
    </xf>
    <xf numFmtId="167" fontId="7" fillId="2" borderId="1" xfId="0" applyNumberFormat="1" applyFont="1" applyFill="1" applyBorder="1" applyAlignment="1">
      <alignment vertical="center" wrapText="1"/>
    </xf>
    <xf numFmtId="0" fontId="0" fillId="0" borderId="0" xfId="0"/>
    <xf numFmtId="4" fontId="22" fillId="0" borderId="1" xfId="0" applyNumberFormat="1" applyFont="1" applyFill="1" applyBorder="1" applyAlignment="1">
      <alignment vertical="top" wrapText="1"/>
    </xf>
    <xf numFmtId="164" fontId="22" fillId="3" borderId="1" xfId="0" applyNumberFormat="1" applyFont="1" applyFill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center" wrapText="1"/>
    </xf>
    <xf numFmtId="4" fontId="24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166" fontId="10" fillId="0" borderId="1" xfId="0" applyNumberFormat="1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167" fontId="24" fillId="3" borderId="1" xfId="0" applyNumberFormat="1" applyFont="1" applyFill="1" applyBorder="1" applyAlignment="1">
      <alignment horizontal="right" vertical="top" wrapText="1"/>
    </xf>
    <xf numFmtId="164" fontId="10" fillId="0" borderId="10" xfId="0" applyNumberFormat="1" applyFont="1" applyFill="1" applyBorder="1" applyAlignment="1">
      <alignment horizontal="right" vertical="top" wrapText="1"/>
    </xf>
    <xf numFmtId="4" fontId="10" fillId="0" borderId="10" xfId="0" applyNumberFormat="1" applyFont="1" applyFill="1" applyBorder="1" applyAlignment="1">
      <alignment horizontal="right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24" fillId="3" borderId="1" xfId="0" applyNumberFormat="1" applyFont="1" applyFill="1" applyBorder="1" applyAlignment="1">
      <alignment vertical="top" wrapText="1"/>
    </xf>
    <xf numFmtId="2" fontId="10" fillId="0" borderId="10" xfId="0" applyNumberFormat="1" applyFont="1" applyFill="1" applyBorder="1" applyAlignment="1">
      <alignment horizontal="right" vertical="top" wrapText="1"/>
    </xf>
    <xf numFmtId="4" fontId="10" fillId="3" borderId="1" xfId="0" applyNumberFormat="1" applyFont="1" applyFill="1" applyBorder="1" applyAlignment="1">
      <alignment vertical="top" wrapText="1"/>
    </xf>
    <xf numFmtId="4" fontId="10" fillId="0" borderId="1" xfId="0" applyNumberFormat="1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center" wrapText="1"/>
    </xf>
    <xf numFmtId="167" fontId="24" fillId="0" borderId="1" xfId="0" applyNumberFormat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4" fontId="10" fillId="4" borderId="1" xfId="0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19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4" fontId="7" fillId="4" borderId="1" xfId="0" applyNumberFormat="1" applyFont="1" applyFill="1" applyBorder="1" applyAlignment="1">
      <alignment vertical="center" wrapText="1"/>
    </xf>
    <xf numFmtId="165" fontId="2" fillId="4" borderId="0" xfId="0" applyNumberFormat="1" applyFont="1" applyFill="1" applyAlignment="1">
      <alignment vertical="center" wrapText="1"/>
    </xf>
    <xf numFmtId="167" fontId="10" fillId="4" borderId="1" xfId="0" applyNumberFormat="1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 vertical="center" wrapText="1"/>
    </xf>
    <xf numFmtId="4" fontId="10" fillId="0" borderId="10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Fill="1" applyBorder="1" applyAlignment="1">
      <alignment vertical="center" wrapText="1"/>
    </xf>
    <xf numFmtId="4" fontId="24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4" fontId="24" fillId="0" borderId="1" xfId="0" applyNumberFormat="1" applyFont="1" applyFill="1" applyBorder="1" applyAlignment="1">
      <alignment vertical="top" wrapText="1"/>
    </xf>
    <xf numFmtId="4" fontId="7" fillId="0" borderId="10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vertical="top" wrapText="1"/>
    </xf>
    <xf numFmtId="4" fontId="23" fillId="0" borderId="1" xfId="0" applyNumberFormat="1" applyFont="1" applyFill="1" applyBorder="1" applyAlignment="1">
      <alignment horizontal="right" vertical="top" shrinkToFit="1"/>
    </xf>
    <xf numFmtId="0" fontId="0" fillId="0" borderId="0" xfId="0" applyFill="1"/>
    <xf numFmtId="0" fontId="24" fillId="0" borderId="1" xfId="0" applyFont="1" applyFill="1" applyBorder="1" applyAlignment="1">
      <alignment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166" fontId="4" fillId="0" borderId="2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quotePrefix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10" fillId="2" borderId="11" xfId="0" applyNumberFormat="1" applyFont="1" applyFill="1" applyBorder="1" applyAlignment="1">
      <alignment horizontal="center" vertical="center" wrapText="1"/>
    </xf>
    <xf numFmtId="49" fontId="10" fillId="2" borderId="12" xfId="0" applyNumberFormat="1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9" fontId="10" fillId="2" borderId="1" xfId="0" quotePrefix="1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left" vertical="top" wrapText="1"/>
    </xf>
    <xf numFmtId="0" fontId="21" fillId="0" borderId="4" xfId="0" applyFont="1" applyBorder="1"/>
    <xf numFmtId="0" fontId="21" fillId="0" borderId="5" xfId="0" applyFont="1" applyBorder="1"/>
    <xf numFmtId="4" fontId="16" fillId="0" borderId="3" xfId="0" applyNumberFormat="1" applyFont="1" applyFill="1" applyBorder="1" applyAlignment="1">
      <alignment horizontal="left" wrapText="1"/>
    </xf>
    <xf numFmtId="4" fontId="16" fillId="0" borderId="4" xfId="0" applyNumberFormat="1" applyFont="1" applyFill="1" applyBorder="1" applyAlignment="1">
      <alignment horizontal="left" wrapText="1"/>
    </xf>
    <xf numFmtId="4" fontId="16" fillId="0" borderId="5" xfId="0" applyNumberFormat="1" applyFont="1" applyFill="1" applyBorder="1" applyAlignment="1">
      <alignment horizontal="left" wrapText="1"/>
    </xf>
    <xf numFmtId="4" fontId="16" fillId="0" borderId="3" xfId="0" applyNumberFormat="1" applyFont="1" applyFill="1" applyBorder="1" applyAlignment="1">
      <alignment horizontal="left" vertical="center" wrapText="1"/>
    </xf>
    <xf numFmtId="4" fontId="16" fillId="0" borderId="4" xfId="0" applyNumberFormat="1" applyFont="1" applyFill="1" applyBorder="1" applyAlignment="1">
      <alignment horizontal="left" vertical="center" wrapText="1"/>
    </xf>
    <xf numFmtId="4" fontId="16" fillId="0" borderId="5" xfId="0" applyNumberFormat="1" applyFont="1" applyFill="1" applyBorder="1" applyAlignment="1">
      <alignment horizontal="left" vertical="center" wrapText="1"/>
    </xf>
    <xf numFmtId="0" fontId="13" fillId="0" borderId="3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1" xfId="0" quotePrefix="1" applyFont="1" applyFill="1" applyBorder="1" applyAlignment="1">
      <alignment horizontal="center" vertical="top" wrapText="1"/>
    </xf>
    <xf numFmtId="0" fontId="10" fillId="0" borderId="12" xfId="0" quotePrefix="1" applyFont="1" applyFill="1" applyBorder="1" applyAlignment="1">
      <alignment horizontal="center" vertical="top" wrapText="1"/>
    </xf>
    <xf numFmtId="0" fontId="10" fillId="0" borderId="10" xfId="0" quotePrefix="1" applyFont="1" applyFill="1" applyBorder="1" applyAlignment="1">
      <alignment horizontal="center" vertical="top" wrapText="1"/>
    </xf>
    <xf numFmtId="0" fontId="24" fillId="0" borderId="3" xfId="0" applyFont="1" applyBorder="1" applyAlignment="1">
      <alignment vertical="top" wrapText="1"/>
    </xf>
    <xf numFmtId="0" fontId="24" fillId="0" borderId="4" xfId="0" applyFont="1" applyBorder="1" applyAlignment="1">
      <alignment vertical="top" wrapText="1"/>
    </xf>
    <xf numFmtId="0" fontId="24" fillId="0" borderId="5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0" fontId="10" fillId="0" borderId="11" xfId="0" quotePrefix="1" applyFont="1" applyBorder="1" applyAlignment="1">
      <alignment horizontal="center" vertical="top" wrapText="1"/>
    </xf>
    <xf numFmtId="0" fontId="10" fillId="0" borderId="12" xfId="0" quotePrefix="1" applyFont="1" applyBorder="1" applyAlignment="1">
      <alignment horizontal="center" vertical="top" wrapText="1"/>
    </xf>
    <xf numFmtId="0" fontId="10" fillId="0" borderId="10" xfId="0" quotePrefix="1" applyFont="1" applyBorder="1" applyAlignment="1">
      <alignment horizontal="center" vertical="top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4" fontId="16" fillId="0" borderId="3" xfId="0" applyNumberFormat="1" applyFont="1" applyFill="1" applyBorder="1" applyAlignment="1">
      <alignment horizontal="left" vertical="top" wrapText="1"/>
    </xf>
    <xf numFmtId="4" fontId="16" fillId="0" borderId="4" xfId="0" applyNumberFormat="1" applyFont="1" applyFill="1" applyBorder="1" applyAlignment="1">
      <alignment horizontal="left" vertical="top" wrapText="1"/>
    </xf>
    <xf numFmtId="4" fontId="16" fillId="0" borderId="5" xfId="0" applyNumberFormat="1" applyFont="1" applyFill="1" applyBorder="1" applyAlignment="1">
      <alignment horizontal="left" vertical="top" wrapText="1"/>
    </xf>
    <xf numFmtId="49" fontId="10" fillId="2" borderId="11" xfId="0" quotePrefix="1" applyNumberFormat="1" applyFont="1" applyFill="1" applyBorder="1" applyAlignment="1">
      <alignment horizontal="center" vertical="center" wrapText="1"/>
    </xf>
    <xf numFmtId="49" fontId="10" fillId="2" borderId="12" xfId="0" quotePrefix="1" applyNumberFormat="1" applyFont="1" applyFill="1" applyBorder="1" applyAlignment="1">
      <alignment horizontal="center" vertical="center" wrapText="1"/>
    </xf>
    <xf numFmtId="49" fontId="10" fillId="2" borderId="10" xfId="0" quotePrefix="1" applyNumberFormat="1" applyFont="1" applyFill="1" applyBorder="1" applyAlignment="1">
      <alignment horizontal="center" vertical="center" wrapText="1"/>
    </xf>
    <xf numFmtId="49" fontId="10" fillId="0" borderId="11" xfId="0" quotePrefix="1" applyNumberFormat="1" applyFont="1" applyFill="1" applyBorder="1" applyAlignment="1">
      <alignment horizontal="center" vertical="center" wrapText="1"/>
    </xf>
    <xf numFmtId="49" fontId="10" fillId="0" borderId="12" xfId="0" quotePrefix="1" applyNumberFormat="1" applyFont="1" applyFill="1" applyBorder="1" applyAlignment="1">
      <alignment horizontal="center" vertical="center" wrapText="1"/>
    </xf>
    <xf numFmtId="49" fontId="10" fillId="0" borderId="10" xfId="0" quotePrefix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1" xfId="0" quotePrefix="1" applyFont="1" applyFill="1" applyBorder="1" applyAlignment="1">
      <alignment horizontal="center" vertical="center" wrapText="1"/>
    </xf>
    <xf numFmtId="0" fontId="7" fillId="0" borderId="12" xfId="0" quotePrefix="1" applyFont="1" applyFill="1" applyBorder="1" applyAlignment="1">
      <alignment horizontal="center" vertical="center" wrapText="1"/>
    </xf>
    <xf numFmtId="0" fontId="7" fillId="0" borderId="10" xfId="0" quotePrefix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left" vertical="top" wrapText="1"/>
    </xf>
    <xf numFmtId="49" fontId="7" fillId="0" borderId="5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4" fontId="7" fillId="0" borderId="3" xfId="0" applyNumberFormat="1" applyFont="1" applyBorder="1" applyAlignment="1">
      <alignment horizontal="left" vertical="top" wrapText="1"/>
    </xf>
    <xf numFmtId="4" fontId="7" fillId="0" borderId="4" xfId="0" applyNumberFormat="1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left"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left" vertical="top" wrapText="1"/>
    </xf>
    <xf numFmtId="49" fontId="7" fillId="0" borderId="16" xfId="0" applyNumberFormat="1" applyFont="1" applyFill="1" applyBorder="1" applyAlignment="1">
      <alignment horizontal="left" vertical="top" wrapText="1"/>
    </xf>
    <xf numFmtId="0" fontId="0" fillId="0" borderId="4" xfId="0" applyBorder="1"/>
    <xf numFmtId="0" fontId="0" fillId="0" borderId="8" xfId="0" applyBorder="1"/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8"/>
  <sheetViews>
    <sheetView topLeftCell="A4" zoomScaleNormal="100" zoomScaleSheetLayoutView="90" workbookViewId="0">
      <pane xSplit="9" ySplit="6" topLeftCell="U10" activePane="bottomRight" state="frozen"/>
      <selection activeCell="A4" sqref="A4"/>
      <selection pane="topRight" activeCell="J4" sqref="J4"/>
      <selection pane="bottomLeft" activeCell="A9" sqref="A9"/>
      <selection pane="bottomRight" activeCell="X7" sqref="X7"/>
    </sheetView>
  </sheetViews>
  <sheetFormatPr defaultColWidth="9.140625" defaultRowHeight="15.75"/>
  <cols>
    <col min="1" max="1" width="14.5703125" style="1" customWidth="1"/>
    <col min="2" max="2" width="20" style="1" customWidth="1"/>
    <col min="3" max="3" width="17.42578125" style="1" customWidth="1"/>
    <col min="4" max="4" width="6.7109375" style="1" customWidth="1"/>
    <col min="5" max="5" width="6" style="15" customWidth="1"/>
    <col min="6" max="6" width="3.28515625" style="1" customWidth="1"/>
    <col min="7" max="7" width="3" style="1" customWidth="1"/>
    <col min="8" max="8" width="2.28515625" style="1" customWidth="1"/>
    <col min="9" max="9" width="6.140625" style="1" customWidth="1"/>
    <col min="10" max="11" width="14.28515625" style="16" customWidth="1"/>
    <col min="12" max="12" width="13.7109375" style="16" customWidth="1"/>
    <col min="13" max="13" width="13.5703125" style="16" customWidth="1"/>
    <col min="14" max="14" width="14" style="16" customWidth="1"/>
    <col min="15" max="21" width="14.7109375" style="16" customWidth="1"/>
    <col min="22" max="22" width="22.28515625" style="16" customWidth="1"/>
    <col min="23" max="23" width="16.7109375" style="8" customWidth="1"/>
    <col min="24" max="24" width="17.85546875" style="1" customWidth="1"/>
    <col min="25" max="25" width="17" style="1" customWidth="1"/>
    <col min="26" max="26" width="17.5703125" style="1" customWidth="1"/>
    <col min="27" max="27" width="9.140625" style="1" customWidth="1"/>
    <col min="28" max="16384" width="9.140625" style="1"/>
  </cols>
  <sheetData>
    <row r="1" spans="1:26" ht="18.75" customHeight="1">
      <c r="A1" s="32" t="s">
        <v>104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241" t="s">
        <v>61</v>
      </c>
      <c r="U1" s="241"/>
      <c r="V1" s="241"/>
      <c r="W1" s="11"/>
      <c r="X1" s="12"/>
      <c r="Y1" s="12"/>
      <c r="Z1" s="12"/>
    </row>
    <row r="2" spans="1:26" ht="50.4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242" t="s">
        <v>62</v>
      </c>
      <c r="U2" s="242"/>
      <c r="V2" s="242"/>
      <c r="W2" s="11"/>
      <c r="X2" s="12"/>
      <c r="Y2" s="12"/>
      <c r="Z2" s="12"/>
    </row>
    <row r="3" spans="1:26" ht="76.5" customHeight="1">
      <c r="A3" s="240" t="s">
        <v>69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13"/>
      <c r="X3" s="14"/>
      <c r="Y3" s="14"/>
      <c r="Z3" s="14"/>
    </row>
    <row r="4" spans="1:26" ht="17.25" customHeigh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5"/>
      <c r="W4" s="13"/>
      <c r="X4" s="14"/>
      <c r="Y4" s="14"/>
      <c r="Z4" s="14"/>
    </row>
    <row r="5" spans="1:26">
      <c r="U5" s="247" t="s">
        <v>64</v>
      </c>
      <c r="V5" s="247"/>
    </row>
    <row r="6" spans="1:26" ht="34.5" customHeight="1">
      <c r="A6" s="235" t="s">
        <v>65</v>
      </c>
      <c r="B6" s="235" t="s">
        <v>0</v>
      </c>
      <c r="C6" s="235" t="s">
        <v>5</v>
      </c>
      <c r="D6" s="235" t="s">
        <v>6</v>
      </c>
      <c r="E6" s="235"/>
      <c r="F6" s="235"/>
      <c r="G6" s="235"/>
      <c r="H6" s="235"/>
      <c r="I6" s="235"/>
      <c r="J6" s="236" t="s">
        <v>52</v>
      </c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X6" s="4"/>
      <c r="Y6" s="4"/>
      <c r="Z6" s="4"/>
    </row>
    <row r="7" spans="1:26" ht="34.5" customHeight="1">
      <c r="A7" s="235"/>
      <c r="B7" s="235"/>
      <c r="C7" s="235"/>
      <c r="D7" s="235" t="s">
        <v>1</v>
      </c>
      <c r="E7" s="243" t="s">
        <v>2</v>
      </c>
      <c r="F7" s="235" t="s">
        <v>3</v>
      </c>
      <c r="G7" s="235"/>
      <c r="H7" s="235"/>
      <c r="I7" s="235" t="s">
        <v>4</v>
      </c>
      <c r="J7" s="236" t="s">
        <v>92</v>
      </c>
      <c r="K7" s="236"/>
      <c r="L7" s="236" t="s">
        <v>93</v>
      </c>
      <c r="M7" s="236"/>
      <c r="N7" s="236"/>
      <c r="O7" s="236"/>
      <c r="P7" s="236"/>
      <c r="Q7" s="236"/>
      <c r="R7" s="236"/>
      <c r="S7" s="236"/>
      <c r="T7" s="236" t="s">
        <v>53</v>
      </c>
      <c r="U7" s="236"/>
      <c r="V7" s="236" t="s">
        <v>58</v>
      </c>
      <c r="X7" s="4"/>
      <c r="Y7" s="4"/>
      <c r="Z7" s="4"/>
    </row>
    <row r="8" spans="1:26" ht="34.5" customHeight="1">
      <c r="A8" s="235"/>
      <c r="B8" s="235"/>
      <c r="C8" s="235"/>
      <c r="D8" s="235"/>
      <c r="E8" s="243"/>
      <c r="F8" s="235"/>
      <c r="G8" s="235"/>
      <c r="H8" s="235"/>
      <c r="I8" s="235"/>
      <c r="J8" s="236"/>
      <c r="K8" s="236"/>
      <c r="L8" s="236" t="s">
        <v>59</v>
      </c>
      <c r="M8" s="236"/>
      <c r="N8" s="236" t="s">
        <v>60</v>
      </c>
      <c r="O8" s="236"/>
      <c r="P8" s="236" t="s">
        <v>54</v>
      </c>
      <c r="Q8" s="236"/>
      <c r="R8" s="236" t="s">
        <v>55</v>
      </c>
      <c r="S8" s="236"/>
      <c r="T8" s="236"/>
      <c r="U8" s="236"/>
      <c r="V8" s="236"/>
      <c r="X8" s="4"/>
      <c r="Y8" s="4"/>
      <c r="Z8" s="4"/>
    </row>
    <row r="9" spans="1:26">
      <c r="A9" s="235"/>
      <c r="B9" s="235"/>
      <c r="C9" s="235"/>
      <c r="D9" s="235"/>
      <c r="E9" s="243"/>
      <c r="F9" s="235"/>
      <c r="G9" s="235"/>
      <c r="H9" s="235"/>
      <c r="I9" s="235"/>
      <c r="J9" s="17" t="s">
        <v>56</v>
      </c>
      <c r="K9" s="17" t="s">
        <v>57</v>
      </c>
      <c r="L9" s="17" t="s">
        <v>56</v>
      </c>
      <c r="M9" s="17" t="s">
        <v>57</v>
      </c>
      <c r="N9" s="17" t="s">
        <v>56</v>
      </c>
      <c r="O9" s="17" t="s">
        <v>57</v>
      </c>
      <c r="P9" s="17" t="s">
        <v>56</v>
      </c>
      <c r="Q9" s="17" t="s">
        <v>57</v>
      </c>
      <c r="R9" s="17" t="s">
        <v>56</v>
      </c>
      <c r="S9" s="17" t="s">
        <v>57</v>
      </c>
      <c r="T9" s="51" t="s">
        <v>94</v>
      </c>
      <c r="U9" s="51" t="s">
        <v>95</v>
      </c>
      <c r="V9" s="18"/>
      <c r="X9" s="4"/>
      <c r="Y9" s="4"/>
      <c r="Z9" s="4"/>
    </row>
    <row r="10" spans="1:26" ht="36">
      <c r="A10" s="158" t="s">
        <v>14</v>
      </c>
      <c r="B10" s="158" t="s">
        <v>91</v>
      </c>
      <c r="C10" s="52" t="s">
        <v>7</v>
      </c>
      <c r="D10" s="53"/>
      <c r="E10" s="53"/>
      <c r="F10" s="159" t="s">
        <v>24</v>
      </c>
      <c r="G10" s="159"/>
      <c r="H10" s="159"/>
      <c r="I10" s="53"/>
      <c r="J10" s="70">
        <f>J12+J13</f>
        <v>346412321</v>
      </c>
      <c r="K10" s="70">
        <f>K12+K13</f>
        <v>346891880.24000001</v>
      </c>
      <c r="L10" s="70">
        <f t="shared" ref="L10:U10" si="0">SUM(L12:L13)</f>
        <v>85204519.799999997</v>
      </c>
      <c r="M10" s="70">
        <f t="shared" si="0"/>
        <v>84401568.540000007</v>
      </c>
      <c r="N10" s="70">
        <f t="shared" si="0"/>
        <v>173857890.24000001</v>
      </c>
      <c r="O10" s="70">
        <f t="shared" si="0"/>
        <v>171104194.89000002</v>
      </c>
      <c r="P10" s="70">
        <f t="shared" si="0"/>
        <v>249568433.34</v>
      </c>
      <c r="Q10" s="70">
        <f t="shared" si="0"/>
        <v>247053326.64000002</v>
      </c>
      <c r="R10" s="70">
        <f t="shared" si="0"/>
        <v>350324870.84000003</v>
      </c>
      <c r="S10" s="70">
        <f t="shared" si="0"/>
        <v>349151394.84000003</v>
      </c>
      <c r="T10" s="70">
        <f t="shared" si="0"/>
        <v>334429812</v>
      </c>
      <c r="U10" s="70">
        <f t="shared" si="0"/>
        <v>333031012</v>
      </c>
      <c r="V10" s="173"/>
      <c r="W10" s="19"/>
      <c r="X10" s="3"/>
      <c r="Y10" s="3"/>
      <c r="Z10" s="3"/>
    </row>
    <row r="11" spans="1:26">
      <c r="A11" s="158"/>
      <c r="B11" s="158"/>
      <c r="C11" s="6" t="s">
        <v>8</v>
      </c>
      <c r="D11" s="7"/>
      <c r="E11" s="7"/>
      <c r="F11" s="237"/>
      <c r="G11" s="237"/>
      <c r="H11" s="237"/>
      <c r="I11" s="7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174"/>
      <c r="X11" s="4"/>
      <c r="Y11" s="4"/>
      <c r="Z11" s="4"/>
    </row>
    <row r="12" spans="1:26" s="119" customFormat="1" ht="36">
      <c r="A12" s="158"/>
      <c r="B12" s="158"/>
      <c r="C12" s="117" t="s">
        <v>108</v>
      </c>
      <c r="D12" s="117"/>
      <c r="E12" s="117"/>
      <c r="F12" s="244"/>
      <c r="G12" s="245"/>
      <c r="H12" s="246"/>
      <c r="I12" s="117"/>
      <c r="J12" s="120">
        <f t="shared" ref="J12:U12" si="1">J43+J96</f>
        <v>15393265</v>
      </c>
      <c r="K12" s="120">
        <f t="shared" si="1"/>
        <v>21705301.600000001</v>
      </c>
      <c r="L12" s="120">
        <f t="shared" si="1"/>
        <v>4725209.8</v>
      </c>
      <c r="M12" s="120">
        <f t="shared" si="1"/>
        <v>4389033.6400000006</v>
      </c>
      <c r="N12" s="120">
        <f t="shared" si="1"/>
        <v>7664510.2400000002</v>
      </c>
      <c r="O12" s="120">
        <f t="shared" si="1"/>
        <v>7065798.0899999999</v>
      </c>
      <c r="P12" s="120">
        <f t="shared" si="1"/>
        <v>18451750.18</v>
      </c>
      <c r="Q12" s="120">
        <f t="shared" si="1"/>
        <v>18098711.550000001</v>
      </c>
      <c r="R12" s="120">
        <f t="shared" si="1"/>
        <v>39794963</v>
      </c>
      <c r="S12" s="120">
        <f t="shared" si="1"/>
        <v>38633498.159999996</v>
      </c>
      <c r="T12" s="120">
        <f t="shared" si="1"/>
        <v>15350263</v>
      </c>
      <c r="U12" s="120">
        <f t="shared" si="1"/>
        <v>14950263</v>
      </c>
      <c r="V12" s="174"/>
      <c r="X12" s="121"/>
      <c r="Y12" s="121"/>
      <c r="Z12" s="121"/>
    </row>
    <row r="13" spans="1:26" ht="24">
      <c r="A13" s="158"/>
      <c r="B13" s="158"/>
      <c r="C13" s="52" t="s">
        <v>15</v>
      </c>
      <c r="D13" s="53"/>
      <c r="E13" s="53"/>
      <c r="F13" s="231"/>
      <c r="G13" s="231"/>
      <c r="H13" s="231"/>
      <c r="I13" s="53"/>
      <c r="J13" s="54">
        <f t="shared" ref="J13:U13" si="2">J16+J44+J85</f>
        <v>331019056</v>
      </c>
      <c r="K13" s="54">
        <f t="shared" si="2"/>
        <v>325186578.63999999</v>
      </c>
      <c r="L13" s="54">
        <f t="shared" si="2"/>
        <v>80479310</v>
      </c>
      <c r="M13" s="54">
        <f t="shared" si="2"/>
        <v>80012534.900000006</v>
      </c>
      <c r="N13" s="54">
        <f t="shared" si="2"/>
        <v>166193380</v>
      </c>
      <c r="O13" s="54">
        <f t="shared" si="2"/>
        <v>164038396.80000001</v>
      </c>
      <c r="P13" s="54">
        <f t="shared" si="2"/>
        <v>231116683.16</v>
      </c>
      <c r="Q13" s="54">
        <f t="shared" si="2"/>
        <v>228954615.09</v>
      </c>
      <c r="R13" s="54">
        <f t="shared" si="2"/>
        <v>310529907.84000003</v>
      </c>
      <c r="S13" s="54">
        <f t="shared" si="2"/>
        <v>310517896.68000001</v>
      </c>
      <c r="T13" s="54">
        <f t="shared" si="2"/>
        <v>319079549</v>
      </c>
      <c r="U13" s="54">
        <f t="shared" si="2"/>
        <v>318080749</v>
      </c>
      <c r="V13" s="175"/>
      <c r="X13" s="4"/>
      <c r="Y13" s="4"/>
      <c r="Z13" s="4"/>
    </row>
    <row r="14" spans="1:26" ht="38.25">
      <c r="A14" s="158" t="s">
        <v>9</v>
      </c>
      <c r="B14" s="158" t="s">
        <v>10</v>
      </c>
      <c r="C14" s="92" t="s">
        <v>11</v>
      </c>
      <c r="D14" s="91"/>
      <c r="E14" s="91"/>
      <c r="F14" s="159" t="s">
        <v>25</v>
      </c>
      <c r="G14" s="159"/>
      <c r="H14" s="159"/>
      <c r="I14" s="91"/>
      <c r="J14" s="54">
        <f>J17+J20+J23+J26+J29+J35</f>
        <v>66509618</v>
      </c>
      <c r="K14" s="54">
        <f>K17+K20+K23+K26+K29+K35</f>
        <v>65581589.310000002</v>
      </c>
      <c r="L14" s="54">
        <f>L17+L20+L23+L26+L29+L35+L32</f>
        <v>16372830</v>
      </c>
      <c r="M14" s="54">
        <f>M17+M20+M23+M26+M29+M35</f>
        <v>16372830</v>
      </c>
      <c r="N14" s="54">
        <f>N17+N20+N23+N26+N29+N35+N32</f>
        <v>31988580</v>
      </c>
      <c r="O14" s="54">
        <f>O17+O20+O23+O26+O29+O35</f>
        <v>31908280</v>
      </c>
      <c r="P14" s="54">
        <f>P17+P20+P23+P26+P29+P35+P32+P38</f>
        <v>46311480</v>
      </c>
      <c r="Q14" s="54">
        <f>Q17+Q20+Q23+Q26+Q29+Q35+Q32+Q38</f>
        <v>46309980</v>
      </c>
      <c r="R14" s="54">
        <f>R17+R20+R23+R26+R29+R35+R32+R38</f>
        <v>62588189</v>
      </c>
      <c r="S14" s="54">
        <f>S17+S20+S23+S26+S29+S35+S32+S38</f>
        <v>62588189</v>
      </c>
      <c r="T14" s="54">
        <f t="shared" ref="T14:U14" si="3">T17+T20+T23+T26+T29+T35+T32+T38</f>
        <v>62968742</v>
      </c>
      <c r="U14" s="54">
        <f t="shared" si="3"/>
        <v>62969942</v>
      </c>
      <c r="V14" s="173"/>
    </row>
    <row r="15" spans="1:26" ht="25.5">
      <c r="A15" s="158"/>
      <c r="B15" s="158"/>
      <c r="C15" s="89" t="s">
        <v>8</v>
      </c>
      <c r="D15" s="90"/>
      <c r="E15" s="90"/>
      <c r="F15" s="152"/>
      <c r="G15" s="152"/>
      <c r="H15" s="152"/>
      <c r="I15" s="9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174"/>
    </row>
    <row r="16" spans="1:26" ht="25.5">
      <c r="A16" s="158"/>
      <c r="B16" s="158"/>
      <c r="C16" s="92" t="s">
        <v>15</v>
      </c>
      <c r="D16" s="91"/>
      <c r="E16" s="91"/>
      <c r="F16" s="159" t="s">
        <v>25</v>
      </c>
      <c r="G16" s="159"/>
      <c r="H16" s="159"/>
      <c r="I16" s="91"/>
      <c r="J16" s="54">
        <f t="shared" ref="J16:O16" si="4">J19+J22+J25+J28+J31+J37</f>
        <v>66509618</v>
      </c>
      <c r="K16" s="54">
        <f t="shared" si="4"/>
        <v>65581589.310000002</v>
      </c>
      <c r="L16" s="54">
        <f>L19+L22+L28+L34+L37+L40</f>
        <v>16372830</v>
      </c>
      <c r="M16" s="54">
        <f t="shared" si="4"/>
        <v>16372830</v>
      </c>
      <c r="N16" s="54">
        <f>N19+N22+N28+N34+N37+N40</f>
        <v>31988580</v>
      </c>
      <c r="O16" s="54">
        <f t="shared" si="4"/>
        <v>31908280</v>
      </c>
      <c r="P16" s="54">
        <f>P19+P22+P28+P34+P37+P40</f>
        <v>46311480</v>
      </c>
      <c r="Q16" s="54">
        <f t="shared" ref="Q16" si="5">Q19+Q22+Q25+Q28+Q31+Q37+Q38</f>
        <v>46309980</v>
      </c>
      <c r="R16" s="54">
        <f>R19+R22+R28+R34+R37+R40</f>
        <v>62588189</v>
      </c>
      <c r="S16" s="54">
        <f>S19+S22+S28+S34+S37+S40</f>
        <v>62588189</v>
      </c>
      <c r="T16" s="54">
        <f t="shared" ref="T16:U16" si="6">T19+T22+T25+T28+T31+T37+T34</f>
        <v>62968742</v>
      </c>
      <c r="U16" s="54">
        <f t="shared" si="6"/>
        <v>62969942</v>
      </c>
      <c r="V16" s="175"/>
    </row>
    <row r="17" spans="1:23" ht="38.25">
      <c r="A17" s="154"/>
      <c r="B17" s="248" t="s">
        <v>22</v>
      </c>
      <c r="C17" s="92" t="s">
        <v>11</v>
      </c>
      <c r="D17" s="91"/>
      <c r="E17" s="91"/>
      <c r="F17" s="160"/>
      <c r="G17" s="160"/>
      <c r="H17" s="160"/>
      <c r="I17" s="91"/>
      <c r="J17" s="54">
        <f t="shared" ref="J17:K17" si="7">J19</f>
        <v>48093095</v>
      </c>
      <c r="K17" s="54">
        <f t="shared" si="7"/>
        <v>47165066.310000002</v>
      </c>
      <c r="L17" s="54">
        <f>L19</f>
        <v>11818730</v>
      </c>
      <c r="M17" s="54">
        <f t="shared" ref="M17:U17" si="8">M19</f>
        <v>11818730</v>
      </c>
      <c r="N17" s="54">
        <f t="shared" si="8"/>
        <v>23135500</v>
      </c>
      <c r="O17" s="54">
        <f t="shared" si="8"/>
        <v>23135500</v>
      </c>
      <c r="P17" s="54">
        <f t="shared" si="8"/>
        <v>33431500</v>
      </c>
      <c r="Q17" s="54">
        <f t="shared" si="8"/>
        <v>33431500</v>
      </c>
      <c r="R17" s="54">
        <f t="shared" si="8"/>
        <v>44973685</v>
      </c>
      <c r="S17" s="54">
        <f t="shared" si="8"/>
        <v>44973685</v>
      </c>
      <c r="T17" s="54">
        <f t="shared" si="8"/>
        <v>45174935</v>
      </c>
      <c r="U17" s="54">
        <f t="shared" si="8"/>
        <v>45174935</v>
      </c>
      <c r="V17" s="170"/>
    </row>
    <row r="18" spans="1:23" ht="25.5">
      <c r="A18" s="154"/>
      <c r="B18" s="248"/>
      <c r="C18" s="89" t="s">
        <v>8</v>
      </c>
      <c r="D18" s="90"/>
      <c r="E18" s="90"/>
      <c r="F18" s="152"/>
      <c r="G18" s="152"/>
      <c r="H18" s="152"/>
      <c r="I18" s="9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71"/>
    </row>
    <row r="19" spans="1:23" ht="25.5">
      <c r="A19" s="154"/>
      <c r="B19" s="248"/>
      <c r="C19" s="89" t="s">
        <v>15</v>
      </c>
      <c r="D19" s="90" t="s">
        <v>23</v>
      </c>
      <c r="E19" s="90" t="s">
        <v>66</v>
      </c>
      <c r="F19" s="153" t="s">
        <v>26</v>
      </c>
      <c r="G19" s="153"/>
      <c r="H19" s="153"/>
      <c r="I19" s="90">
        <v>611</v>
      </c>
      <c r="J19" s="22">
        <v>48093095</v>
      </c>
      <c r="K19" s="22">
        <v>47165066.310000002</v>
      </c>
      <c r="L19" s="22">
        <v>11818730</v>
      </c>
      <c r="M19" s="22">
        <v>11818730</v>
      </c>
      <c r="N19" s="22">
        <f>23257850-122350</f>
        <v>23135500</v>
      </c>
      <c r="O19" s="22">
        <f>23257850-122350</f>
        <v>23135500</v>
      </c>
      <c r="P19" s="22">
        <f>33735450-122350-181600</f>
        <v>33431500</v>
      </c>
      <c r="Q19" s="22">
        <f>33735450-122350-181600</f>
        <v>33431500</v>
      </c>
      <c r="R19" s="21">
        <v>44973685</v>
      </c>
      <c r="S19" s="21">
        <v>44973685</v>
      </c>
      <c r="T19" s="21">
        <v>45174935</v>
      </c>
      <c r="U19" s="21">
        <v>45174935</v>
      </c>
      <c r="V19" s="172"/>
      <c r="W19" s="19"/>
    </row>
    <row r="20" spans="1:23" ht="38.25">
      <c r="A20" s="154"/>
      <c r="B20" s="248" t="s">
        <v>63</v>
      </c>
      <c r="C20" s="92" t="s">
        <v>11</v>
      </c>
      <c r="D20" s="91"/>
      <c r="E20" s="91"/>
      <c r="F20" s="160"/>
      <c r="G20" s="160"/>
      <c r="H20" s="160"/>
      <c r="I20" s="91"/>
      <c r="J20" s="54">
        <f t="shared" ref="J20:K20" si="9">J22</f>
        <v>18223623</v>
      </c>
      <c r="K20" s="54">
        <f t="shared" si="9"/>
        <v>18223623</v>
      </c>
      <c r="L20" s="54">
        <f>L22</f>
        <v>4554100</v>
      </c>
      <c r="M20" s="54">
        <f t="shared" ref="M20:U20" si="10">M22</f>
        <v>4554100</v>
      </c>
      <c r="N20" s="54">
        <f t="shared" si="10"/>
        <v>8746000</v>
      </c>
      <c r="O20" s="54">
        <f t="shared" si="10"/>
        <v>8746000</v>
      </c>
      <c r="P20" s="54">
        <f t="shared" si="10"/>
        <v>12771400</v>
      </c>
      <c r="Q20" s="54">
        <f t="shared" si="10"/>
        <v>12771400</v>
      </c>
      <c r="R20" s="54">
        <f t="shared" si="10"/>
        <v>17381404</v>
      </c>
      <c r="S20" s="54">
        <f t="shared" si="10"/>
        <v>17381404</v>
      </c>
      <c r="T20" s="54">
        <f t="shared" si="10"/>
        <v>17783407</v>
      </c>
      <c r="U20" s="54">
        <f t="shared" si="10"/>
        <v>17783407</v>
      </c>
      <c r="V20" s="173"/>
    </row>
    <row r="21" spans="1:23" ht="25.5">
      <c r="A21" s="154"/>
      <c r="B21" s="248"/>
      <c r="C21" s="89" t="s">
        <v>8</v>
      </c>
      <c r="D21" s="90"/>
      <c r="E21" s="90"/>
      <c r="F21" s="153"/>
      <c r="G21" s="153"/>
      <c r="H21" s="153"/>
      <c r="I21" s="90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174"/>
    </row>
    <row r="22" spans="1:23" ht="25.5">
      <c r="A22" s="154"/>
      <c r="B22" s="248"/>
      <c r="C22" s="89" t="s">
        <v>15</v>
      </c>
      <c r="D22" s="90">
        <v>733</v>
      </c>
      <c r="E22" s="90" t="s">
        <v>66</v>
      </c>
      <c r="F22" s="153" t="s">
        <v>27</v>
      </c>
      <c r="G22" s="153"/>
      <c r="H22" s="153"/>
      <c r="I22" s="90">
        <v>611</v>
      </c>
      <c r="J22" s="22">
        <v>18223623</v>
      </c>
      <c r="K22" s="22">
        <v>18223623</v>
      </c>
      <c r="L22" s="22">
        <v>4554100</v>
      </c>
      <c r="M22" s="22">
        <v>4554100</v>
      </c>
      <c r="N22" s="22">
        <f>8896000-150000</f>
        <v>8746000</v>
      </c>
      <c r="O22" s="22">
        <f>8896000-150000</f>
        <v>8746000</v>
      </c>
      <c r="P22" s="22">
        <f>13146400-150000-225000</f>
        <v>12771400</v>
      </c>
      <c r="Q22" s="22">
        <f>13146400-150000-225000</f>
        <v>12771400</v>
      </c>
      <c r="R22" s="21">
        <v>17381404</v>
      </c>
      <c r="S22" s="21">
        <v>17381404</v>
      </c>
      <c r="T22" s="21">
        <v>17783407</v>
      </c>
      <c r="U22" s="21">
        <v>17783407</v>
      </c>
      <c r="V22" s="175"/>
      <c r="W22" s="19"/>
    </row>
    <row r="23" spans="1:23" ht="38.25">
      <c r="A23" s="154"/>
      <c r="B23" s="154" t="s">
        <v>44</v>
      </c>
      <c r="C23" s="92" t="s">
        <v>11</v>
      </c>
      <c r="D23" s="91"/>
      <c r="E23" s="91"/>
      <c r="F23" s="160"/>
      <c r="G23" s="160"/>
      <c r="H23" s="160"/>
      <c r="I23" s="91"/>
      <c r="J23" s="54">
        <f t="shared" ref="J23:K23" si="11">J25</f>
        <v>20000</v>
      </c>
      <c r="K23" s="54">
        <f t="shared" si="11"/>
        <v>20000</v>
      </c>
      <c r="L23" s="54">
        <f>L25</f>
        <v>0</v>
      </c>
      <c r="M23" s="54">
        <f t="shared" ref="M23:U23" si="12">M25</f>
        <v>0</v>
      </c>
      <c r="N23" s="54">
        <f t="shared" si="12"/>
        <v>0</v>
      </c>
      <c r="O23" s="54">
        <f t="shared" si="12"/>
        <v>0</v>
      </c>
      <c r="P23" s="54">
        <f t="shared" si="12"/>
        <v>0</v>
      </c>
      <c r="Q23" s="54">
        <f t="shared" si="12"/>
        <v>0</v>
      </c>
      <c r="R23" s="54">
        <f t="shared" si="12"/>
        <v>0</v>
      </c>
      <c r="S23" s="54">
        <f t="shared" si="12"/>
        <v>0</v>
      </c>
      <c r="T23" s="54">
        <f t="shared" si="12"/>
        <v>0</v>
      </c>
      <c r="U23" s="54">
        <f t="shared" si="12"/>
        <v>0</v>
      </c>
      <c r="V23" s="173"/>
    </row>
    <row r="24" spans="1:23" ht="25.5">
      <c r="A24" s="154"/>
      <c r="B24" s="154"/>
      <c r="C24" s="89" t="s">
        <v>8</v>
      </c>
      <c r="D24" s="90"/>
      <c r="E24" s="90"/>
      <c r="F24" s="152"/>
      <c r="G24" s="152"/>
      <c r="H24" s="152"/>
      <c r="I24" s="90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174"/>
    </row>
    <row r="25" spans="1:23" ht="25.5">
      <c r="A25" s="154"/>
      <c r="B25" s="154"/>
      <c r="C25" s="89" t="s">
        <v>15</v>
      </c>
      <c r="D25" s="90" t="s">
        <v>23</v>
      </c>
      <c r="E25" s="90" t="s">
        <v>66</v>
      </c>
      <c r="F25" s="153" t="s">
        <v>51</v>
      </c>
      <c r="G25" s="153"/>
      <c r="H25" s="153"/>
      <c r="I25" s="90">
        <v>612</v>
      </c>
      <c r="J25" s="22">
        <v>20000</v>
      </c>
      <c r="K25" s="22">
        <v>20000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1">
        <v>0</v>
      </c>
      <c r="U25" s="21">
        <v>0</v>
      </c>
      <c r="V25" s="175"/>
      <c r="W25" s="19"/>
    </row>
    <row r="26" spans="1:23" ht="38.25">
      <c r="A26" s="154"/>
      <c r="B26" s="154" t="s">
        <v>45</v>
      </c>
      <c r="C26" s="92" t="s">
        <v>11</v>
      </c>
      <c r="D26" s="91"/>
      <c r="E26" s="91"/>
      <c r="F26" s="160"/>
      <c r="G26" s="160"/>
      <c r="H26" s="160"/>
      <c r="I26" s="91"/>
      <c r="J26" s="54">
        <f t="shared" ref="J26:K26" si="13">J28</f>
        <v>19500</v>
      </c>
      <c r="K26" s="54">
        <f t="shared" si="13"/>
        <v>19500</v>
      </c>
      <c r="L26" s="54">
        <f>L28</f>
        <v>0</v>
      </c>
      <c r="M26" s="54">
        <f t="shared" ref="M26:U26" si="14">M28</f>
        <v>0</v>
      </c>
      <c r="N26" s="54">
        <f t="shared" si="14"/>
        <v>26780</v>
      </c>
      <c r="O26" s="54">
        <f t="shared" si="14"/>
        <v>26780</v>
      </c>
      <c r="P26" s="54">
        <f t="shared" si="14"/>
        <v>26780</v>
      </c>
      <c r="Q26" s="54">
        <f t="shared" si="14"/>
        <v>26780</v>
      </c>
      <c r="R26" s="54">
        <f t="shared" si="14"/>
        <v>45800</v>
      </c>
      <c r="S26" s="54">
        <f t="shared" si="14"/>
        <v>45800</v>
      </c>
      <c r="T26" s="54">
        <f t="shared" si="14"/>
        <v>0</v>
      </c>
      <c r="U26" s="54">
        <f t="shared" si="14"/>
        <v>0</v>
      </c>
      <c r="V26" s="173"/>
    </row>
    <row r="27" spans="1:23" ht="25.5">
      <c r="A27" s="154"/>
      <c r="B27" s="154"/>
      <c r="C27" s="89" t="s">
        <v>8</v>
      </c>
      <c r="D27" s="90"/>
      <c r="E27" s="90"/>
      <c r="F27" s="152"/>
      <c r="G27" s="152"/>
      <c r="H27" s="152"/>
      <c r="I27" s="90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174"/>
    </row>
    <row r="28" spans="1:23" ht="25.5">
      <c r="A28" s="154"/>
      <c r="B28" s="154"/>
      <c r="C28" s="89" t="s">
        <v>15</v>
      </c>
      <c r="D28" s="90" t="s">
        <v>23</v>
      </c>
      <c r="E28" s="90" t="s">
        <v>66</v>
      </c>
      <c r="F28" s="153" t="s">
        <v>47</v>
      </c>
      <c r="G28" s="153"/>
      <c r="H28" s="153"/>
      <c r="I28" s="90">
        <v>612</v>
      </c>
      <c r="J28" s="22">
        <v>19500</v>
      </c>
      <c r="K28" s="22">
        <v>19500</v>
      </c>
      <c r="L28" s="22">
        <v>0</v>
      </c>
      <c r="M28" s="22">
        <v>0</v>
      </c>
      <c r="N28" s="22">
        <v>26780</v>
      </c>
      <c r="O28" s="22">
        <v>26780</v>
      </c>
      <c r="P28" s="22">
        <v>26780</v>
      </c>
      <c r="Q28" s="22">
        <v>26780</v>
      </c>
      <c r="R28" s="21">
        <v>45800</v>
      </c>
      <c r="S28" s="21">
        <v>45800</v>
      </c>
      <c r="T28" s="21">
        <v>0</v>
      </c>
      <c r="U28" s="21">
        <v>0</v>
      </c>
      <c r="V28" s="175"/>
      <c r="W28" s="19"/>
    </row>
    <row r="29" spans="1:23" ht="38.25">
      <c r="A29" s="154"/>
      <c r="B29" s="154" t="s">
        <v>46</v>
      </c>
      <c r="C29" s="92" t="s">
        <v>11</v>
      </c>
      <c r="D29" s="91"/>
      <c r="E29" s="91"/>
      <c r="F29" s="160"/>
      <c r="G29" s="160"/>
      <c r="H29" s="160"/>
      <c r="I29" s="91"/>
      <c r="J29" s="54">
        <f t="shared" ref="J29:K29" si="15">J31</f>
        <v>80000</v>
      </c>
      <c r="K29" s="54">
        <f t="shared" si="15"/>
        <v>80000</v>
      </c>
      <c r="L29" s="54">
        <f>L31</f>
        <v>0</v>
      </c>
      <c r="M29" s="54">
        <f t="shared" ref="M29:U29" si="16">M31</f>
        <v>0</v>
      </c>
      <c r="N29" s="54">
        <f t="shared" si="16"/>
        <v>0</v>
      </c>
      <c r="O29" s="54">
        <f t="shared" si="16"/>
        <v>0</v>
      </c>
      <c r="P29" s="54">
        <f t="shared" si="16"/>
        <v>0</v>
      </c>
      <c r="Q29" s="54">
        <f t="shared" si="16"/>
        <v>0</v>
      </c>
      <c r="R29" s="54">
        <f t="shared" si="16"/>
        <v>0</v>
      </c>
      <c r="S29" s="54">
        <f t="shared" si="16"/>
        <v>0</v>
      </c>
      <c r="T29" s="54">
        <f t="shared" si="16"/>
        <v>0</v>
      </c>
      <c r="U29" s="54">
        <f t="shared" si="16"/>
        <v>0</v>
      </c>
      <c r="V29" s="173"/>
    </row>
    <row r="30" spans="1:23" ht="25.5">
      <c r="A30" s="154"/>
      <c r="B30" s="154"/>
      <c r="C30" s="89" t="s">
        <v>8</v>
      </c>
      <c r="D30" s="90"/>
      <c r="E30" s="90"/>
      <c r="F30" s="152"/>
      <c r="G30" s="152"/>
      <c r="H30" s="152"/>
      <c r="I30" s="90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174"/>
    </row>
    <row r="31" spans="1:23" ht="25.5">
      <c r="A31" s="154"/>
      <c r="B31" s="154"/>
      <c r="C31" s="89" t="s">
        <v>15</v>
      </c>
      <c r="D31" s="90" t="s">
        <v>23</v>
      </c>
      <c r="E31" s="90" t="s">
        <v>66</v>
      </c>
      <c r="F31" s="153" t="s">
        <v>48</v>
      </c>
      <c r="G31" s="153"/>
      <c r="H31" s="153"/>
      <c r="I31" s="90">
        <v>612</v>
      </c>
      <c r="J31" s="22">
        <v>80000</v>
      </c>
      <c r="K31" s="22">
        <v>80000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1">
        <v>0</v>
      </c>
      <c r="S31" s="21">
        <v>0</v>
      </c>
      <c r="T31" s="21">
        <v>0</v>
      </c>
      <c r="U31" s="21">
        <v>0</v>
      </c>
      <c r="V31" s="175"/>
      <c r="W31" s="19"/>
    </row>
    <row r="32" spans="1:23" ht="38.25">
      <c r="A32" s="154"/>
      <c r="B32" s="154" t="s">
        <v>96</v>
      </c>
      <c r="C32" s="92" t="s">
        <v>11</v>
      </c>
      <c r="D32" s="91"/>
      <c r="E32" s="91"/>
      <c r="F32" s="215"/>
      <c r="G32" s="216"/>
      <c r="H32" s="217"/>
      <c r="I32" s="91"/>
      <c r="J32" s="94"/>
      <c r="K32" s="94"/>
      <c r="L32" s="94">
        <f>SUM(L33:L34)</f>
        <v>0</v>
      </c>
      <c r="M32" s="94">
        <f t="shared" ref="M32:U32" si="17">SUM(M33:M34)</f>
        <v>0</v>
      </c>
      <c r="N32" s="94">
        <f t="shared" si="17"/>
        <v>0</v>
      </c>
      <c r="O32" s="94">
        <f t="shared" si="17"/>
        <v>0</v>
      </c>
      <c r="P32" s="94">
        <f t="shared" si="17"/>
        <v>0</v>
      </c>
      <c r="Q32" s="94">
        <f t="shared" si="17"/>
        <v>0</v>
      </c>
      <c r="R32" s="55">
        <f t="shared" si="17"/>
        <v>10400</v>
      </c>
      <c r="S32" s="55">
        <f t="shared" si="17"/>
        <v>10400</v>
      </c>
      <c r="T32" s="55">
        <f t="shared" si="17"/>
        <v>10400</v>
      </c>
      <c r="U32" s="55">
        <f t="shared" si="17"/>
        <v>11600</v>
      </c>
      <c r="V32" s="9"/>
      <c r="W32" s="19"/>
    </row>
    <row r="33" spans="1:23" ht="25.5">
      <c r="A33" s="154"/>
      <c r="B33" s="154"/>
      <c r="C33" s="89" t="s">
        <v>8</v>
      </c>
      <c r="D33" s="90"/>
      <c r="E33" s="90"/>
      <c r="F33" s="218"/>
      <c r="G33" s="219"/>
      <c r="H33" s="220"/>
      <c r="I33" s="90"/>
      <c r="J33" s="22"/>
      <c r="K33" s="22"/>
      <c r="L33" s="22"/>
      <c r="M33" s="22"/>
      <c r="N33" s="22"/>
      <c r="O33" s="22"/>
      <c r="P33" s="22"/>
      <c r="Q33" s="22"/>
      <c r="R33" s="21"/>
      <c r="S33" s="21"/>
      <c r="T33" s="21"/>
      <c r="U33" s="21"/>
      <c r="V33" s="9"/>
      <c r="W33" s="19"/>
    </row>
    <row r="34" spans="1:23" ht="25.5">
      <c r="A34" s="154"/>
      <c r="B34" s="154"/>
      <c r="C34" s="89" t="s">
        <v>15</v>
      </c>
      <c r="D34" s="90" t="s">
        <v>23</v>
      </c>
      <c r="E34" s="90" t="s">
        <v>66</v>
      </c>
      <c r="F34" s="153" t="s">
        <v>97</v>
      </c>
      <c r="G34" s="153"/>
      <c r="H34" s="153"/>
      <c r="I34" s="90">
        <v>612</v>
      </c>
      <c r="J34" s="22"/>
      <c r="K34" s="22"/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1">
        <f>11600-1200</f>
        <v>10400</v>
      </c>
      <c r="S34" s="21">
        <v>10400</v>
      </c>
      <c r="T34" s="21">
        <f>11600-1200</f>
        <v>10400</v>
      </c>
      <c r="U34" s="21">
        <v>11600</v>
      </c>
      <c r="V34" s="9"/>
      <c r="W34" s="19"/>
    </row>
    <row r="35" spans="1:23" ht="38.25">
      <c r="A35" s="154"/>
      <c r="B35" s="154" t="s">
        <v>49</v>
      </c>
      <c r="C35" s="92" t="s">
        <v>11</v>
      </c>
      <c r="D35" s="91"/>
      <c r="E35" s="91"/>
      <c r="F35" s="160"/>
      <c r="G35" s="160"/>
      <c r="H35" s="160"/>
      <c r="I35" s="91"/>
      <c r="J35" s="54">
        <f t="shared" ref="J35:K35" si="18">J37</f>
        <v>73400</v>
      </c>
      <c r="K35" s="54">
        <f t="shared" si="18"/>
        <v>73400</v>
      </c>
      <c r="L35" s="54">
        <f>L37</f>
        <v>0</v>
      </c>
      <c r="M35" s="54">
        <f t="shared" ref="M35:U35" si="19">M37</f>
        <v>0</v>
      </c>
      <c r="N35" s="54">
        <f t="shared" si="19"/>
        <v>80300</v>
      </c>
      <c r="O35" s="54">
        <f t="shared" si="19"/>
        <v>0</v>
      </c>
      <c r="P35" s="54">
        <f t="shared" si="19"/>
        <v>80300</v>
      </c>
      <c r="Q35" s="54">
        <f t="shared" si="19"/>
        <v>80300</v>
      </c>
      <c r="R35" s="54">
        <f t="shared" si="19"/>
        <v>175400</v>
      </c>
      <c r="S35" s="54">
        <f t="shared" si="19"/>
        <v>175400</v>
      </c>
      <c r="T35" s="54">
        <f t="shared" si="19"/>
        <v>0</v>
      </c>
      <c r="U35" s="54">
        <f t="shared" si="19"/>
        <v>0</v>
      </c>
      <c r="V35" s="173"/>
    </row>
    <row r="36" spans="1:23" ht="25.5">
      <c r="A36" s="154"/>
      <c r="B36" s="154"/>
      <c r="C36" s="89" t="s">
        <v>8</v>
      </c>
      <c r="D36" s="90"/>
      <c r="E36" s="90"/>
      <c r="F36" s="152"/>
      <c r="G36" s="152"/>
      <c r="H36" s="152"/>
      <c r="I36" s="90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174"/>
    </row>
    <row r="37" spans="1:23" ht="25.5">
      <c r="A37" s="154"/>
      <c r="B37" s="154"/>
      <c r="C37" s="89" t="s">
        <v>15</v>
      </c>
      <c r="D37" s="90" t="s">
        <v>23</v>
      </c>
      <c r="E37" s="90" t="s">
        <v>66</v>
      </c>
      <c r="F37" s="153" t="s">
        <v>50</v>
      </c>
      <c r="G37" s="153"/>
      <c r="H37" s="153"/>
      <c r="I37" s="90">
        <v>612</v>
      </c>
      <c r="J37" s="22">
        <v>73400</v>
      </c>
      <c r="K37" s="22">
        <v>73400</v>
      </c>
      <c r="L37" s="22">
        <v>0</v>
      </c>
      <c r="M37" s="22">
        <v>0</v>
      </c>
      <c r="N37" s="22">
        <f>107100-26800</f>
        <v>80300</v>
      </c>
      <c r="O37" s="22">
        <v>0</v>
      </c>
      <c r="P37" s="22">
        <f>107100-26800</f>
        <v>80300</v>
      </c>
      <c r="Q37" s="22">
        <f>107100-26800</f>
        <v>80300</v>
      </c>
      <c r="R37" s="21">
        <v>175400</v>
      </c>
      <c r="S37" s="21">
        <v>175400</v>
      </c>
      <c r="T37" s="21">
        <v>0</v>
      </c>
      <c r="U37" s="21">
        <v>0</v>
      </c>
      <c r="V37" s="175"/>
      <c r="W37" s="19"/>
    </row>
    <row r="38" spans="1:23" ht="51" customHeight="1">
      <c r="A38" s="154"/>
      <c r="B38" s="154" t="s">
        <v>101</v>
      </c>
      <c r="C38" s="92" t="s">
        <v>11</v>
      </c>
      <c r="D38" s="91"/>
      <c r="E38" s="91"/>
      <c r="F38" s="160"/>
      <c r="G38" s="160"/>
      <c r="H38" s="160"/>
      <c r="I38" s="91"/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f>P40</f>
        <v>1500</v>
      </c>
      <c r="Q38" s="95">
        <f t="shared" ref="Q38:U38" si="20">Q40</f>
        <v>0</v>
      </c>
      <c r="R38" s="95">
        <f t="shared" si="20"/>
        <v>1500</v>
      </c>
      <c r="S38" s="95">
        <f t="shared" si="20"/>
        <v>1500</v>
      </c>
      <c r="T38" s="95">
        <f t="shared" si="20"/>
        <v>0</v>
      </c>
      <c r="U38" s="95">
        <f t="shared" si="20"/>
        <v>0</v>
      </c>
      <c r="V38" s="212"/>
      <c r="W38" s="19"/>
    </row>
    <row r="39" spans="1:23" ht="25.5">
      <c r="A39" s="154"/>
      <c r="B39" s="154"/>
      <c r="C39" s="89" t="s">
        <v>8</v>
      </c>
      <c r="D39" s="90"/>
      <c r="E39" s="90"/>
      <c r="F39" s="152"/>
      <c r="G39" s="152"/>
      <c r="H39" s="152"/>
      <c r="I39" s="90"/>
      <c r="J39" s="22"/>
      <c r="K39" s="22"/>
      <c r="L39" s="22"/>
      <c r="M39" s="22"/>
      <c r="N39" s="22"/>
      <c r="O39" s="22"/>
      <c r="P39" s="22"/>
      <c r="Q39" s="22"/>
      <c r="R39" s="21"/>
      <c r="S39" s="21"/>
      <c r="T39" s="21"/>
      <c r="U39" s="21"/>
      <c r="V39" s="213"/>
      <c r="W39" s="19"/>
    </row>
    <row r="40" spans="1:23" ht="25.5">
      <c r="A40" s="154"/>
      <c r="B40" s="154"/>
      <c r="C40" s="89" t="s">
        <v>15</v>
      </c>
      <c r="D40" s="90" t="s">
        <v>23</v>
      </c>
      <c r="E40" s="90" t="s">
        <v>66</v>
      </c>
      <c r="F40" s="153" t="s">
        <v>102</v>
      </c>
      <c r="G40" s="153"/>
      <c r="H40" s="153"/>
      <c r="I40" s="90">
        <v>612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1500</v>
      </c>
      <c r="Q40" s="22">
        <v>0</v>
      </c>
      <c r="R40" s="21">
        <v>1500</v>
      </c>
      <c r="S40" s="21">
        <v>1500</v>
      </c>
      <c r="T40" s="21">
        <v>0</v>
      </c>
      <c r="U40" s="21">
        <v>0</v>
      </c>
      <c r="V40" s="214"/>
      <c r="W40" s="19"/>
    </row>
    <row r="41" spans="1:23" ht="38.25">
      <c r="A41" s="158" t="s">
        <v>12</v>
      </c>
      <c r="B41" s="158" t="s">
        <v>41</v>
      </c>
      <c r="C41" s="92" t="s">
        <v>11</v>
      </c>
      <c r="D41" s="91"/>
      <c r="E41" s="91"/>
      <c r="F41" s="159" t="s">
        <v>28</v>
      </c>
      <c r="G41" s="159"/>
      <c r="H41" s="159"/>
      <c r="I41" s="91"/>
      <c r="J41" s="54">
        <f t="shared" ref="J41:U41" si="21">J45+J49+J52+J55+J58+J61+J64+J67+J71+J80+J43</f>
        <v>182761319</v>
      </c>
      <c r="K41" s="54">
        <f t="shared" si="21"/>
        <v>184952915.47000003</v>
      </c>
      <c r="L41" s="54">
        <f t="shared" si="21"/>
        <v>44813770</v>
      </c>
      <c r="M41" s="54">
        <f t="shared" si="21"/>
        <v>44192983.729999997</v>
      </c>
      <c r="N41" s="54">
        <f t="shared" si="21"/>
        <v>87386206.060000002</v>
      </c>
      <c r="O41" s="54">
        <f t="shared" si="21"/>
        <v>84962570.730000004</v>
      </c>
      <c r="P41" s="54">
        <f t="shared" si="21"/>
        <v>131851796.16</v>
      </c>
      <c r="Q41" s="54">
        <f t="shared" si="21"/>
        <v>130017636.39</v>
      </c>
      <c r="R41" s="54">
        <f t="shared" si="21"/>
        <v>192448993.84</v>
      </c>
      <c r="S41" s="54">
        <f t="shared" si="21"/>
        <v>191398319.82000002</v>
      </c>
      <c r="T41" s="54">
        <f t="shared" si="21"/>
        <v>177359688</v>
      </c>
      <c r="U41" s="54">
        <f t="shared" si="21"/>
        <v>175959688</v>
      </c>
      <c r="V41" s="173"/>
    </row>
    <row r="42" spans="1:23" ht="25.5">
      <c r="A42" s="158"/>
      <c r="B42" s="158"/>
      <c r="C42" s="89" t="s">
        <v>8</v>
      </c>
      <c r="D42" s="90"/>
      <c r="E42" s="90"/>
      <c r="F42" s="152"/>
      <c r="G42" s="152"/>
      <c r="H42" s="152"/>
      <c r="I42" s="90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174"/>
    </row>
    <row r="43" spans="1:23" s="119" customFormat="1" ht="38.25">
      <c r="A43" s="158"/>
      <c r="B43" s="158"/>
      <c r="C43" s="115" t="s">
        <v>108</v>
      </c>
      <c r="D43" s="115"/>
      <c r="E43" s="115"/>
      <c r="F43" s="197"/>
      <c r="G43" s="198"/>
      <c r="H43" s="199"/>
      <c r="I43" s="115"/>
      <c r="J43" s="116">
        <f>J76+J79</f>
        <v>8638000</v>
      </c>
      <c r="K43" s="116">
        <f>K76+K96</f>
        <v>15048986.43</v>
      </c>
      <c r="L43" s="116">
        <f t="shared" ref="L43:U43" si="22">L76+L79</f>
        <v>3200000</v>
      </c>
      <c r="M43" s="116">
        <f t="shared" si="22"/>
        <v>2952313.73</v>
      </c>
      <c r="N43" s="116">
        <f t="shared" si="22"/>
        <v>4435346.0599999996</v>
      </c>
      <c r="O43" s="116">
        <f t="shared" si="22"/>
        <v>3988085.73</v>
      </c>
      <c r="P43" s="116">
        <f t="shared" si="22"/>
        <v>11545000</v>
      </c>
      <c r="Q43" s="116">
        <f t="shared" si="22"/>
        <v>11732935.23</v>
      </c>
      <c r="R43" s="120">
        <f t="shared" si="22"/>
        <v>31113000</v>
      </c>
      <c r="S43" s="120">
        <f t="shared" si="22"/>
        <v>30062677.120000001</v>
      </c>
      <c r="T43" s="120">
        <f t="shared" si="22"/>
        <v>8813000</v>
      </c>
      <c r="U43" s="120">
        <f t="shared" si="22"/>
        <v>8413000</v>
      </c>
      <c r="V43" s="174"/>
      <c r="W43" s="118"/>
    </row>
    <row r="44" spans="1:23" ht="25.5">
      <c r="A44" s="158"/>
      <c r="B44" s="158"/>
      <c r="C44" s="92" t="s">
        <v>15</v>
      </c>
      <c r="D44" s="91"/>
      <c r="E44" s="91"/>
      <c r="F44" s="160"/>
      <c r="G44" s="160"/>
      <c r="H44" s="160"/>
      <c r="I44" s="91"/>
      <c r="J44" s="54">
        <f>J47+J51+J54+J57+J60+J63+J66+J69+J70+J73+J82</f>
        <v>174123319</v>
      </c>
      <c r="K44" s="54">
        <f>K47+K51+K54+K57+K60+K63+K66+K69+K70+K73+K82</f>
        <v>169903929.04000002</v>
      </c>
      <c r="L44" s="54">
        <f t="shared" ref="L44:O44" si="23">L47+L48+L51+L54+L57+L60+L63+L66+L69+L70</f>
        <v>41613770</v>
      </c>
      <c r="M44" s="54">
        <f t="shared" si="23"/>
        <v>41240670</v>
      </c>
      <c r="N44" s="54">
        <f t="shared" si="23"/>
        <v>82950860</v>
      </c>
      <c r="O44" s="54">
        <f t="shared" si="23"/>
        <v>80974485</v>
      </c>
      <c r="P44" s="54">
        <f>P47+P48+P51+P54+P57+P60+P63+P66+P69+P70</f>
        <v>120306796.16</v>
      </c>
      <c r="Q44" s="54">
        <f t="shared" ref="Q44:U44" si="24">Q47+Q48+Q51+Q54+Q57+Q60+Q63+Q66+Q69+Q70</f>
        <v>118284701.16</v>
      </c>
      <c r="R44" s="54">
        <f t="shared" si="24"/>
        <v>161335993.84</v>
      </c>
      <c r="S44" s="54">
        <f t="shared" si="24"/>
        <v>161335642.70000002</v>
      </c>
      <c r="T44" s="54">
        <f t="shared" si="24"/>
        <v>168546688</v>
      </c>
      <c r="U44" s="54">
        <f t="shared" si="24"/>
        <v>167546688</v>
      </c>
      <c r="V44" s="175"/>
    </row>
    <row r="45" spans="1:23" ht="36" customHeight="1">
      <c r="A45" s="221"/>
      <c r="B45" s="164" t="s">
        <v>87</v>
      </c>
      <c r="C45" s="92" t="s">
        <v>11</v>
      </c>
      <c r="D45" s="91"/>
      <c r="E45" s="91"/>
      <c r="F45" s="160"/>
      <c r="G45" s="160"/>
      <c r="H45" s="160"/>
      <c r="I45" s="91"/>
      <c r="J45" s="54">
        <f t="shared" ref="J45:K45" si="25">J47</f>
        <v>33854587</v>
      </c>
      <c r="K45" s="54">
        <f t="shared" si="25"/>
        <v>33075473.510000002</v>
      </c>
      <c r="L45" s="54">
        <f>SUM(L47:L48)</f>
        <v>9862640</v>
      </c>
      <c r="M45" s="54">
        <f>SUM(M47:M48)</f>
        <v>9862640</v>
      </c>
      <c r="N45" s="54">
        <f>SUM(N47:N48)</f>
        <v>18890740</v>
      </c>
      <c r="O45" s="54">
        <f t="shared" ref="O45:U45" si="26">SUM(O47:O48)</f>
        <v>18890740</v>
      </c>
      <c r="P45" s="54">
        <f t="shared" si="26"/>
        <v>26248570</v>
      </c>
      <c r="Q45" s="54">
        <f t="shared" si="26"/>
        <v>26248570</v>
      </c>
      <c r="R45" s="54">
        <f t="shared" si="26"/>
        <v>36811700</v>
      </c>
      <c r="S45" s="54">
        <f t="shared" si="26"/>
        <v>36811700</v>
      </c>
      <c r="T45" s="54">
        <f t="shared" si="26"/>
        <v>39146700</v>
      </c>
      <c r="U45" s="54">
        <f t="shared" si="26"/>
        <v>39146700</v>
      </c>
      <c r="V45" s="170"/>
    </row>
    <row r="46" spans="1:23" ht="25.5">
      <c r="A46" s="222"/>
      <c r="B46" s="165"/>
      <c r="C46" s="89" t="s">
        <v>8</v>
      </c>
      <c r="D46" s="90"/>
      <c r="E46" s="90"/>
      <c r="F46" s="152"/>
      <c r="G46" s="152"/>
      <c r="H46" s="152"/>
      <c r="I46" s="90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171"/>
    </row>
    <row r="47" spans="1:23" ht="97.9" customHeight="1">
      <c r="A47" s="222"/>
      <c r="B47" s="165"/>
      <c r="C47" s="233" t="s">
        <v>15</v>
      </c>
      <c r="D47" s="90" t="s">
        <v>23</v>
      </c>
      <c r="E47" s="90" t="s">
        <v>66</v>
      </c>
      <c r="F47" s="153" t="s">
        <v>29</v>
      </c>
      <c r="G47" s="153"/>
      <c r="H47" s="153"/>
      <c r="I47" s="90">
        <v>611</v>
      </c>
      <c r="J47" s="2">
        <v>33854587</v>
      </c>
      <c r="K47" s="2">
        <v>33075473.510000002</v>
      </c>
      <c r="L47" s="2">
        <v>8465820</v>
      </c>
      <c r="M47" s="2">
        <v>8465820</v>
      </c>
      <c r="N47" s="2">
        <f>16863380-819720</f>
        <v>16043660</v>
      </c>
      <c r="O47" s="2">
        <f>16863380-819720</f>
        <v>16043660</v>
      </c>
      <c r="P47" s="2">
        <f>23432620-819720-846540</f>
        <v>21766360</v>
      </c>
      <c r="Q47" s="2">
        <f>23432620-819720-846540</f>
        <v>21766360</v>
      </c>
      <c r="R47" s="23">
        <v>30951554</v>
      </c>
      <c r="S47" s="23">
        <v>30951554</v>
      </c>
      <c r="T47" s="23">
        <v>33031554</v>
      </c>
      <c r="U47" s="23">
        <v>33031554</v>
      </c>
      <c r="V47" s="172"/>
      <c r="W47" s="19"/>
    </row>
    <row r="48" spans="1:23">
      <c r="A48" s="223"/>
      <c r="B48" s="166"/>
      <c r="C48" s="234"/>
      <c r="D48" s="90" t="s">
        <v>23</v>
      </c>
      <c r="E48" s="90" t="s">
        <v>66</v>
      </c>
      <c r="F48" s="153" t="s">
        <v>29</v>
      </c>
      <c r="G48" s="153"/>
      <c r="H48" s="153"/>
      <c r="I48" s="90" t="s">
        <v>98</v>
      </c>
      <c r="J48" s="2">
        <v>0</v>
      </c>
      <c r="K48" s="2">
        <v>0</v>
      </c>
      <c r="L48" s="2">
        <v>1396820</v>
      </c>
      <c r="M48" s="2">
        <v>1396820</v>
      </c>
      <c r="N48" s="2">
        <f>2910830-63750</f>
        <v>2847080</v>
      </c>
      <c r="O48" s="2">
        <f>2910830-63750</f>
        <v>2847080</v>
      </c>
      <c r="P48" s="2">
        <f>4641590-63750-95630</f>
        <v>4482210</v>
      </c>
      <c r="Q48" s="2">
        <f>4641590-63750-95630</f>
        <v>4482210</v>
      </c>
      <c r="R48" s="23">
        <f>6115146-255000</f>
        <v>5860146</v>
      </c>
      <c r="S48" s="23">
        <f>6115146-255000</f>
        <v>5860146</v>
      </c>
      <c r="T48" s="23">
        <v>6115146</v>
      </c>
      <c r="U48" s="23">
        <v>6115146</v>
      </c>
      <c r="V48" s="20"/>
      <c r="W48" s="19"/>
    </row>
    <row r="49" spans="1:23" ht="38.25">
      <c r="A49" s="154"/>
      <c r="B49" s="154" t="s">
        <v>42</v>
      </c>
      <c r="C49" s="92" t="s">
        <v>11</v>
      </c>
      <c r="D49" s="91"/>
      <c r="E49" s="91"/>
      <c r="F49" s="160"/>
      <c r="G49" s="160"/>
      <c r="H49" s="160"/>
      <c r="I49" s="91"/>
      <c r="J49" s="54">
        <f t="shared" ref="J49:K49" si="27">J51</f>
        <v>34879527</v>
      </c>
      <c r="K49" s="54">
        <f t="shared" si="27"/>
        <v>34461755.060000002</v>
      </c>
      <c r="L49" s="54">
        <f>L51</f>
        <v>8261500</v>
      </c>
      <c r="M49" s="54">
        <f t="shared" ref="M49:U49" si="28">M51</f>
        <v>8261500</v>
      </c>
      <c r="N49" s="54">
        <f t="shared" si="28"/>
        <v>15925250</v>
      </c>
      <c r="O49" s="54">
        <f t="shared" si="28"/>
        <v>15925250</v>
      </c>
      <c r="P49" s="54">
        <f t="shared" si="28"/>
        <v>21591805</v>
      </c>
      <c r="Q49" s="54">
        <f t="shared" si="28"/>
        <v>21591805</v>
      </c>
      <c r="R49" s="54">
        <f t="shared" si="28"/>
        <v>30419269</v>
      </c>
      <c r="S49" s="54">
        <f t="shared" si="28"/>
        <v>30419269</v>
      </c>
      <c r="T49" s="54">
        <f t="shared" si="28"/>
        <v>32292900</v>
      </c>
      <c r="U49" s="54">
        <f t="shared" si="28"/>
        <v>32292900</v>
      </c>
      <c r="V49" s="170"/>
    </row>
    <row r="50" spans="1:23" ht="25.5">
      <c r="A50" s="154"/>
      <c r="B50" s="154"/>
      <c r="C50" s="89" t="s">
        <v>8</v>
      </c>
      <c r="D50" s="90"/>
      <c r="E50" s="90"/>
      <c r="F50" s="152"/>
      <c r="G50" s="152"/>
      <c r="H50" s="152"/>
      <c r="I50" s="90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171"/>
    </row>
    <row r="51" spans="1:23" ht="36" customHeight="1">
      <c r="A51" s="154"/>
      <c r="B51" s="154"/>
      <c r="C51" s="89" t="s">
        <v>15</v>
      </c>
      <c r="D51" s="90" t="s">
        <v>23</v>
      </c>
      <c r="E51" s="90" t="s">
        <v>66</v>
      </c>
      <c r="F51" s="153" t="s">
        <v>30</v>
      </c>
      <c r="G51" s="153"/>
      <c r="H51" s="153"/>
      <c r="I51" s="90">
        <v>611</v>
      </c>
      <c r="J51" s="2">
        <v>34879527</v>
      </c>
      <c r="K51" s="2">
        <v>34461755.060000002</v>
      </c>
      <c r="L51" s="2">
        <v>8261500</v>
      </c>
      <c r="M51" s="2">
        <v>8261500</v>
      </c>
      <c r="N51" s="2">
        <f>16506340-581090</f>
        <v>15925250</v>
      </c>
      <c r="O51" s="2">
        <f>16506340-581090</f>
        <v>15925250</v>
      </c>
      <c r="P51" s="2">
        <f>23156135-581090-983240</f>
        <v>21591805</v>
      </c>
      <c r="Q51" s="2">
        <f>23156135-581090-983240</f>
        <v>21591805</v>
      </c>
      <c r="R51" s="23">
        <v>30419269</v>
      </c>
      <c r="S51" s="23">
        <v>30419269</v>
      </c>
      <c r="T51" s="23">
        <v>32292900</v>
      </c>
      <c r="U51" s="23">
        <v>32292900</v>
      </c>
      <c r="V51" s="172"/>
      <c r="W51" s="19"/>
    </row>
    <row r="52" spans="1:23" ht="38.25">
      <c r="A52" s="154"/>
      <c r="B52" s="154" t="s">
        <v>17</v>
      </c>
      <c r="C52" s="92" t="s">
        <v>11</v>
      </c>
      <c r="D52" s="91"/>
      <c r="E52" s="91"/>
      <c r="F52" s="160"/>
      <c r="G52" s="160"/>
      <c r="H52" s="160"/>
      <c r="I52" s="91"/>
      <c r="J52" s="54">
        <f t="shared" ref="J52:K52" si="29">J54</f>
        <v>25706344</v>
      </c>
      <c r="K52" s="54">
        <f t="shared" si="29"/>
        <v>25137237.32</v>
      </c>
      <c r="L52" s="54">
        <f>L54</f>
        <v>4190460</v>
      </c>
      <c r="M52" s="54">
        <f t="shared" ref="M52:U52" si="30">M54</f>
        <v>4190460</v>
      </c>
      <c r="N52" s="54">
        <f t="shared" si="30"/>
        <v>8541240</v>
      </c>
      <c r="O52" s="54">
        <f t="shared" si="30"/>
        <v>8541240</v>
      </c>
      <c r="P52" s="54">
        <f t="shared" si="30"/>
        <v>13446670</v>
      </c>
      <c r="Q52" s="54">
        <f t="shared" si="30"/>
        <v>13446670</v>
      </c>
      <c r="R52" s="54">
        <f t="shared" si="30"/>
        <v>17667545</v>
      </c>
      <c r="S52" s="54">
        <f t="shared" si="30"/>
        <v>17667545</v>
      </c>
      <c r="T52" s="54">
        <f t="shared" si="30"/>
        <v>18345439</v>
      </c>
      <c r="U52" s="54">
        <f t="shared" si="30"/>
        <v>18345439</v>
      </c>
      <c r="V52" s="170"/>
    </row>
    <row r="53" spans="1:23" ht="25.5">
      <c r="A53" s="154"/>
      <c r="B53" s="154"/>
      <c r="C53" s="89" t="s">
        <v>8</v>
      </c>
      <c r="D53" s="90"/>
      <c r="E53" s="90"/>
      <c r="F53" s="152"/>
      <c r="G53" s="152"/>
      <c r="H53" s="152"/>
      <c r="I53" s="90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171"/>
    </row>
    <row r="54" spans="1:23" ht="25.5">
      <c r="A54" s="154"/>
      <c r="B54" s="154"/>
      <c r="C54" s="89" t="s">
        <v>15</v>
      </c>
      <c r="D54" s="90" t="s">
        <v>23</v>
      </c>
      <c r="E54" s="90" t="s">
        <v>66</v>
      </c>
      <c r="F54" s="153" t="s">
        <v>31</v>
      </c>
      <c r="G54" s="153"/>
      <c r="H54" s="153"/>
      <c r="I54" s="90">
        <v>621</v>
      </c>
      <c r="J54" s="2">
        <v>25706344</v>
      </c>
      <c r="K54" s="2">
        <v>25137237.32</v>
      </c>
      <c r="L54" s="2">
        <v>4190460</v>
      </c>
      <c r="M54" s="2">
        <v>4190460</v>
      </c>
      <c r="N54" s="2">
        <f>8732480-191240</f>
        <v>8541240</v>
      </c>
      <c r="O54" s="2">
        <f>8732480-191240</f>
        <v>8541240</v>
      </c>
      <c r="P54" s="2">
        <f>13924780-191240-286870</f>
        <v>13446670</v>
      </c>
      <c r="Q54" s="2">
        <f>13924780-191240-286870</f>
        <v>13446670</v>
      </c>
      <c r="R54" s="23">
        <v>17667545</v>
      </c>
      <c r="S54" s="23">
        <v>17667545</v>
      </c>
      <c r="T54" s="23">
        <v>18345439</v>
      </c>
      <c r="U54" s="23">
        <v>18345439</v>
      </c>
      <c r="V54" s="172"/>
      <c r="W54" s="19"/>
    </row>
    <row r="55" spans="1:23" ht="38.25">
      <c r="A55" s="154"/>
      <c r="B55" s="154" t="s">
        <v>18</v>
      </c>
      <c r="C55" s="92" t="s">
        <v>11</v>
      </c>
      <c r="D55" s="91"/>
      <c r="E55" s="91"/>
      <c r="F55" s="160"/>
      <c r="G55" s="160"/>
      <c r="H55" s="160"/>
      <c r="I55" s="91"/>
      <c r="J55" s="54">
        <f t="shared" ref="J55:K55" si="31">J57</f>
        <v>12097103</v>
      </c>
      <c r="K55" s="54">
        <f t="shared" si="31"/>
        <v>12097103</v>
      </c>
      <c r="L55" s="54">
        <f>L57</f>
        <v>2628640</v>
      </c>
      <c r="M55" s="54">
        <f t="shared" ref="M55:U55" si="32">M57</f>
        <v>2628640</v>
      </c>
      <c r="N55" s="54">
        <f t="shared" si="32"/>
        <v>5357760</v>
      </c>
      <c r="O55" s="54">
        <f t="shared" si="32"/>
        <v>5357760</v>
      </c>
      <c r="P55" s="54">
        <f t="shared" si="32"/>
        <v>8434790</v>
      </c>
      <c r="Q55" s="54">
        <f t="shared" si="32"/>
        <v>8434790</v>
      </c>
      <c r="R55" s="54">
        <f t="shared" si="32"/>
        <v>11030864</v>
      </c>
      <c r="S55" s="54">
        <f t="shared" si="32"/>
        <v>11030864</v>
      </c>
      <c r="T55" s="54">
        <f t="shared" si="32"/>
        <v>11510864</v>
      </c>
      <c r="U55" s="54">
        <f t="shared" si="32"/>
        <v>11510864</v>
      </c>
      <c r="V55" s="173"/>
    </row>
    <row r="56" spans="1:23" ht="25.5">
      <c r="A56" s="154"/>
      <c r="B56" s="154"/>
      <c r="C56" s="89" t="s">
        <v>8</v>
      </c>
      <c r="D56" s="90"/>
      <c r="E56" s="90"/>
      <c r="F56" s="152"/>
      <c r="G56" s="152"/>
      <c r="H56" s="152"/>
      <c r="I56" s="90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174"/>
    </row>
    <row r="57" spans="1:23" ht="25.5">
      <c r="A57" s="154"/>
      <c r="B57" s="154"/>
      <c r="C57" s="89" t="s">
        <v>15</v>
      </c>
      <c r="D57" s="90" t="s">
        <v>23</v>
      </c>
      <c r="E57" s="90" t="s">
        <v>66</v>
      </c>
      <c r="F57" s="153" t="s">
        <v>32</v>
      </c>
      <c r="G57" s="153"/>
      <c r="H57" s="153"/>
      <c r="I57" s="90">
        <v>621</v>
      </c>
      <c r="J57" s="2">
        <v>12097103</v>
      </c>
      <c r="K57" s="2">
        <v>12097103</v>
      </c>
      <c r="L57" s="2">
        <v>2628640</v>
      </c>
      <c r="M57" s="2">
        <v>2628640</v>
      </c>
      <c r="N57" s="2">
        <f>5477760-120000</f>
        <v>5357760</v>
      </c>
      <c r="O57" s="2">
        <f>5477760-120000</f>
        <v>5357760</v>
      </c>
      <c r="P57" s="2">
        <f>8734790-120000-180000</f>
        <v>8434790</v>
      </c>
      <c r="Q57" s="2">
        <f>8734790-120000-180000</f>
        <v>8434790</v>
      </c>
      <c r="R57" s="23">
        <f>11510864-480000</f>
        <v>11030864</v>
      </c>
      <c r="S57" s="23">
        <f>11510864-480000</f>
        <v>11030864</v>
      </c>
      <c r="T57" s="23">
        <v>11510864</v>
      </c>
      <c r="U57" s="23">
        <v>11510864</v>
      </c>
      <c r="V57" s="175"/>
      <c r="W57" s="19"/>
    </row>
    <row r="58" spans="1:23" ht="38.25">
      <c r="A58" s="154"/>
      <c r="B58" s="154" t="s">
        <v>19</v>
      </c>
      <c r="C58" s="92" t="s">
        <v>11</v>
      </c>
      <c r="D58" s="91"/>
      <c r="E58" s="91"/>
      <c r="F58" s="160"/>
      <c r="G58" s="160"/>
      <c r="H58" s="160"/>
      <c r="I58" s="91"/>
      <c r="J58" s="54">
        <f t="shared" ref="J58:K58" si="33">J60</f>
        <v>55235126</v>
      </c>
      <c r="K58" s="54">
        <f t="shared" si="33"/>
        <v>53204882.380000003</v>
      </c>
      <c r="L58" s="54">
        <f>L60</f>
        <v>13746390</v>
      </c>
      <c r="M58" s="54">
        <f t="shared" ref="M58:U58" si="34">M60</f>
        <v>13746390</v>
      </c>
      <c r="N58" s="54">
        <f t="shared" si="34"/>
        <v>26657500</v>
      </c>
      <c r="O58" s="54">
        <f t="shared" si="34"/>
        <v>26657500</v>
      </c>
      <c r="P58" s="54">
        <f t="shared" si="34"/>
        <v>39535701.159999996</v>
      </c>
      <c r="Q58" s="54">
        <f t="shared" si="34"/>
        <v>39535701.159999996</v>
      </c>
      <c r="R58" s="54">
        <f t="shared" si="34"/>
        <v>53428007.840000004</v>
      </c>
      <c r="S58" s="54">
        <f t="shared" si="34"/>
        <v>53428007.840000004</v>
      </c>
      <c r="T58" s="54">
        <f t="shared" si="34"/>
        <v>54259102</v>
      </c>
      <c r="U58" s="54">
        <f t="shared" si="34"/>
        <v>54259102</v>
      </c>
      <c r="V58" s="170"/>
    </row>
    <row r="59" spans="1:23" ht="25.5">
      <c r="A59" s="154"/>
      <c r="B59" s="154"/>
      <c r="C59" s="89" t="s">
        <v>8</v>
      </c>
      <c r="D59" s="90"/>
      <c r="E59" s="90"/>
      <c r="F59" s="152"/>
      <c r="G59" s="152"/>
      <c r="H59" s="152"/>
      <c r="I59" s="90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171"/>
    </row>
    <row r="60" spans="1:23" ht="25.5">
      <c r="A60" s="154"/>
      <c r="B60" s="154"/>
      <c r="C60" s="89" t="s">
        <v>15</v>
      </c>
      <c r="D60" s="90" t="s">
        <v>23</v>
      </c>
      <c r="E60" s="90" t="s">
        <v>66</v>
      </c>
      <c r="F60" s="153" t="s">
        <v>33</v>
      </c>
      <c r="G60" s="153"/>
      <c r="H60" s="153"/>
      <c r="I60" s="90">
        <v>611</v>
      </c>
      <c r="J60" s="2">
        <v>55235126</v>
      </c>
      <c r="K60" s="2">
        <v>53204882.380000003</v>
      </c>
      <c r="L60" s="2">
        <v>13746390</v>
      </c>
      <c r="M60" s="2">
        <v>13746390</v>
      </c>
      <c r="N60" s="2">
        <f>27197500-540000</f>
        <v>26657500</v>
      </c>
      <c r="O60" s="2">
        <f>27197500-540000</f>
        <v>26657500</v>
      </c>
      <c r="P60" s="2">
        <f>40200040-540000-540000+415661.16</f>
        <v>39535701.159999996</v>
      </c>
      <c r="Q60" s="2">
        <f>40200040-540000-540000+415661.16</f>
        <v>39535701.159999996</v>
      </c>
      <c r="R60" s="23">
        <v>53428007.840000004</v>
      </c>
      <c r="S60" s="23">
        <v>53428007.840000004</v>
      </c>
      <c r="T60" s="23">
        <v>54259102</v>
      </c>
      <c r="U60" s="23">
        <v>54259102</v>
      </c>
      <c r="V60" s="172"/>
      <c r="W60" s="19"/>
    </row>
    <row r="61" spans="1:23" ht="38.25">
      <c r="A61" s="154"/>
      <c r="B61" s="154" t="s">
        <v>43</v>
      </c>
      <c r="C61" s="92" t="s">
        <v>11</v>
      </c>
      <c r="D61" s="91"/>
      <c r="E61" s="91"/>
      <c r="F61" s="160"/>
      <c r="G61" s="160"/>
      <c r="H61" s="160"/>
      <c r="I61" s="91"/>
      <c r="J61" s="54">
        <f t="shared" ref="J61:K61" si="35">J63</f>
        <v>7082632</v>
      </c>
      <c r="K61" s="54">
        <f t="shared" si="35"/>
        <v>6659500.2400000002</v>
      </c>
      <c r="L61" s="54">
        <f>L63</f>
        <v>1733590</v>
      </c>
      <c r="M61" s="54">
        <f t="shared" ref="M61:U61" si="36">M63</f>
        <v>1733590</v>
      </c>
      <c r="N61" s="54">
        <f t="shared" si="36"/>
        <v>3489880</v>
      </c>
      <c r="O61" s="54">
        <f t="shared" si="36"/>
        <v>3489880</v>
      </c>
      <c r="P61" s="54">
        <f t="shared" si="36"/>
        <v>4670040</v>
      </c>
      <c r="Q61" s="54">
        <f t="shared" si="36"/>
        <v>4670040</v>
      </c>
      <c r="R61" s="54">
        <f t="shared" si="36"/>
        <v>6606483</v>
      </c>
      <c r="S61" s="54">
        <f t="shared" si="36"/>
        <v>6606483</v>
      </c>
      <c r="T61" s="54">
        <f t="shared" si="36"/>
        <v>6991683</v>
      </c>
      <c r="U61" s="54">
        <f t="shared" si="36"/>
        <v>6991683</v>
      </c>
      <c r="V61" s="170"/>
    </row>
    <row r="62" spans="1:23" ht="25.5">
      <c r="A62" s="154"/>
      <c r="B62" s="154"/>
      <c r="C62" s="89" t="s">
        <v>8</v>
      </c>
      <c r="D62" s="90"/>
      <c r="E62" s="90"/>
      <c r="F62" s="152"/>
      <c r="G62" s="152"/>
      <c r="H62" s="152"/>
      <c r="I62" s="90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171"/>
    </row>
    <row r="63" spans="1:23" ht="25.5">
      <c r="A63" s="154"/>
      <c r="B63" s="154"/>
      <c r="C63" s="89" t="s">
        <v>15</v>
      </c>
      <c r="D63" s="90" t="s">
        <v>23</v>
      </c>
      <c r="E63" s="90" t="s">
        <v>66</v>
      </c>
      <c r="F63" s="153" t="s">
        <v>34</v>
      </c>
      <c r="G63" s="153"/>
      <c r="H63" s="153"/>
      <c r="I63" s="90">
        <v>611</v>
      </c>
      <c r="J63" s="2">
        <v>7082632</v>
      </c>
      <c r="K63" s="2">
        <v>6659500.2400000002</v>
      </c>
      <c r="L63" s="2">
        <v>1733590</v>
      </c>
      <c r="M63" s="2">
        <v>1733590</v>
      </c>
      <c r="N63" s="2">
        <f>3605820-115940</f>
        <v>3489880</v>
      </c>
      <c r="O63" s="2">
        <f>3605820-115940</f>
        <v>3489880</v>
      </c>
      <c r="P63" s="2">
        <f>4946960-115940-160980</f>
        <v>4670040</v>
      </c>
      <c r="Q63" s="2">
        <f>4946960-115940-160980</f>
        <v>4670040</v>
      </c>
      <c r="R63" s="23">
        <f>6991683-385200</f>
        <v>6606483</v>
      </c>
      <c r="S63" s="23">
        <f>6991683-385200</f>
        <v>6606483</v>
      </c>
      <c r="T63" s="23">
        <v>6991683</v>
      </c>
      <c r="U63" s="23">
        <v>6991683</v>
      </c>
      <c r="V63" s="172"/>
      <c r="W63" s="19"/>
    </row>
    <row r="64" spans="1:23" ht="38.25">
      <c r="A64" s="154"/>
      <c r="B64" s="154" t="s">
        <v>99</v>
      </c>
      <c r="C64" s="92" t="s">
        <v>11</v>
      </c>
      <c r="D64" s="91"/>
      <c r="E64" s="91"/>
      <c r="F64" s="160"/>
      <c r="G64" s="160"/>
      <c r="H64" s="160"/>
      <c r="I64" s="91"/>
      <c r="J64" s="54">
        <f t="shared" ref="J64:K64" si="37">J66</f>
        <v>0</v>
      </c>
      <c r="K64" s="54">
        <f t="shared" si="37"/>
        <v>0</v>
      </c>
      <c r="L64" s="54">
        <f>L66</f>
        <v>0</v>
      </c>
      <c r="M64" s="54">
        <f t="shared" ref="M64:U64" si="38">M66</f>
        <v>0</v>
      </c>
      <c r="N64" s="54">
        <f t="shared" si="38"/>
        <v>0</v>
      </c>
      <c r="O64" s="54">
        <f t="shared" si="38"/>
        <v>0</v>
      </c>
      <c r="P64" s="54">
        <f t="shared" si="38"/>
        <v>471720</v>
      </c>
      <c r="Q64" s="54">
        <f t="shared" si="38"/>
        <v>0</v>
      </c>
      <c r="R64" s="54">
        <f t="shared" si="38"/>
        <v>0</v>
      </c>
      <c r="S64" s="54">
        <f t="shared" si="38"/>
        <v>0</v>
      </c>
      <c r="T64" s="54">
        <f t="shared" si="38"/>
        <v>1000000</v>
      </c>
      <c r="U64" s="54">
        <f t="shared" si="38"/>
        <v>0</v>
      </c>
      <c r="V64" s="173"/>
    </row>
    <row r="65" spans="1:23" ht="25.5">
      <c r="A65" s="154"/>
      <c r="B65" s="154"/>
      <c r="C65" s="89" t="s">
        <v>8</v>
      </c>
      <c r="D65" s="90"/>
      <c r="E65" s="90"/>
      <c r="F65" s="152"/>
      <c r="G65" s="152"/>
      <c r="H65" s="152"/>
      <c r="I65" s="90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174"/>
    </row>
    <row r="66" spans="1:23" ht="25.5">
      <c r="A66" s="154"/>
      <c r="B66" s="154"/>
      <c r="C66" s="89" t="s">
        <v>15</v>
      </c>
      <c r="D66" s="90" t="s">
        <v>23</v>
      </c>
      <c r="E66" s="90" t="s">
        <v>66</v>
      </c>
      <c r="F66" s="153" t="s">
        <v>35</v>
      </c>
      <c r="G66" s="153"/>
      <c r="H66" s="153"/>
      <c r="I66" s="90" t="s">
        <v>100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f>500000-28280</f>
        <v>471720</v>
      </c>
      <c r="Q66" s="2">
        <v>0</v>
      </c>
      <c r="R66" s="23">
        <v>0</v>
      </c>
      <c r="S66" s="23">
        <v>0</v>
      </c>
      <c r="T66" s="23">
        <v>1000000</v>
      </c>
      <c r="U66" s="23">
        <v>0</v>
      </c>
      <c r="V66" s="175"/>
      <c r="W66" s="19"/>
    </row>
    <row r="67" spans="1:23" ht="38.25">
      <c r="A67" s="179"/>
      <c r="B67" s="179" t="s">
        <v>20</v>
      </c>
      <c r="C67" s="92" t="s">
        <v>11</v>
      </c>
      <c r="D67" s="91"/>
      <c r="E67" s="91"/>
      <c r="F67" s="160"/>
      <c r="G67" s="160"/>
      <c r="H67" s="160"/>
      <c r="I67" s="91"/>
      <c r="J67" s="54">
        <f t="shared" ref="J67:K67" si="39">SUM(J69:J70)</f>
        <v>5000000</v>
      </c>
      <c r="K67" s="54">
        <f t="shared" si="39"/>
        <v>4999977.5299999993</v>
      </c>
      <c r="L67" s="54">
        <f>SUM(L69:L70)</f>
        <v>1190550</v>
      </c>
      <c r="M67" s="54">
        <f t="shared" ref="M67:U67" si="40">SUM(M69:M70)</f>
        <v>817450</v>
      </c>
      <c r="N67" s="54">
        <f t="shared" si="40"/>
        <v>4088490</v>
      </c>
      <c r="O67" s="54">
        <f t="shared" si="40"/>
        <v>2112115</v>
      </c>
      <c r="P67" s="54">
        <f t="shared" si="40"/>
        <v>5907500</v>
      </c>
      <c r="Q67" s="54">
        <f t="shared" si="40"/>
        <v>4357125</v>
      </c>
      <c r="R67" s="54">
        <f t="shared" si="40"/>
        <v>5372125</v>
      </c>
      <c r="S67" s="54">
        <f t="shared" si="40"/>
        <v>5371773.8600000003</v>
      </c>
      <c r="T67" s="54">
        <f t="shared" si="40"/>
        <v>5000000</v>
      </c>
      <c r="U67" s="54">
        <f t="shared" si="40"/>
        <v>5000000</v>
      </c>
      <c r="V67" s="167" t="s">
        <v>106</v>
      </c>
    </row>
    <row r="68" spans="1:23" ht="25.5">
      <c r="A68" s="179"/>
      <c r="B68" s="179"/>
      <c r="C68" s="89" t="s">
        <v>8</v>
      </c>
      <c r="D68" s="90"/>
      <c r="E68" s="90"/>
      <c r="F68" s="152"/>
      <c r="G68" s="152"/>
      <c r="H68" s="152"/>
      <c r="I68" s="90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38"/>
    </row>
    <row r="69" spans="1:23" ht="41.25" customHeight="1">
      <c r="A69" s="179"/>
      <c r="B69" s="179"/>
      <c r="C69" s="180" t="s">
        <v>15</v>
      </c>
      <c r="D69" s="90" t="s">
        <v>23</v>
      </c>
      <c r="E69" s="90" t="s">
        <v>67</v>
      </c>
      <c r="F69" s="153" t="s">
        <v>36</v>
      </c>
      <c r="G69" s="153"/>
      <c r="H69" s="153"/>
      <c r="I69" s="90">
        <v>612</v>
      </c>
      <c r="J69" s="2">
        <v>3735650</v>
      </c>
      <c r="K69" s="2">
        <v>3735627.53</v>
      </c>
      <c r="L69" s="2">
        <v>1000550</v>
      </c>
      <c r="M69" s="2">
        <v>687450</v>
      </c>
      <c r="N69" s="2">
        <v>3588150</v>
      </c>
      <c r="O69" s="2">
        <v>1626775</v>
      </c>
      <c r="P69" s="2">
        <v>4842500</v>
      </c>
      <c r="Q69" s="2">
        <v>3292125</v>
      </c>
      <c r="R69" s="23">
        <v>4227125</v>
      </c>
      <c r="S69" s="23">
        <v>4226773.8600000003</v>
      </c>
      <c r="T69" s="23">
        <v>3855000</v>
      </c>
      <c r="U69" s="23">
        <v>3855000</v>
      </c>
      <c r="V69" s="238"/>
      <c r="W69" s="19"/>
    </row>
    <row r="70" spans="1:23">
      <c r="A70" s="179"/>
      <c r="B70" s="179"/>
      <c r="C70" s="180"/>
      <c r="D70" s="90" t="s">
        <v>23</v>
      </c>
      <c r="E70" s="90" t="s">
        <v>67</v>
      </c>
      <c r="F70" s="153" t="s">
        <v>36</v>
      </c>
      <c r="G70" s="153"/>
      <c r="H70" s="153"/>
      <c r="I70" s="90">
        <v>622</v>
      </c>
      <c r="J70" s="2">
        <v>1264350</v>
      </c>
      <c r="K70" s="2">
        <v>1264350</v>
      </c>
      <c r="L70" s="2">
        <v>190000</v>
      </c>
      <c r="M70" s="2">
        <v>130000</v>
      </c>
      <c r="N70" s="2">
        <v>500340</v>
      </c>
      <c r="O70" s="2">
        <v>485340</v>
      </c>
      <c r="P70" s="2">
        <v>1065000</v>
      </c>
      <c r="Q70" s="2">
        <v>1065000</v>
      </c>
      <c r="R70" s="23">
        <v>1145000</v>
      </c>
      <c r="S70" s="23">
        <v>1145000</v>
      </c>
      <c r="T70" s="23">
        <v>1145000</v>
      </c>
      <c r="U70" s="23">
        <v>1145000</v>
      </c>
      <c r="V70" s="239"/>
      <c r="W70" s="19"/>
    </row>
    <row r="71" spans="1:23" ht="38.25">
      <c r="A71" s="154"/>
      <c r="B71" s="232" t="s">
        <v>88</v>
      </c>
      <c r="C71" s="92" t="s">
        <v>11</v>
      </c>
      <c r="D71" s="91"/>
      <c r="E71" s="91"/>
      <c r="F71" s="160"/>
      <c r="G71" s="160"/>
      <c r="H71" s="160"/>
      <c r="I71" s="91"/>
      <c r="J71" s="54">
        <f t="shared" ref="J71:K71" si="41">J73</f>
        <v>200000</v>
      </c>
      <c r="K71" s="54">
        <f t="shared" si="41"/>
        <v>200000</v>
      </c>
      <c r="L71" s="54">
        <f>L73</f>
        <v>0</v>
      </c>
      <c r="M71" s="54">
        <f t="shared" ref="M71:U71" si="42">M73</f>
        <v>0</v>
      </c>
      <c r="N71" s="54">
        <f t="shared" si="42"/>
        <v>0</v>
      </c>
      <c r="O71" s="54">
        <f t="shared" si="42"/>
        <v>0</v>
      </c>
      <c r="P71" s="54">
        <f t="shared" si="42"/>
        <v>0</v>
      </c>
      <c r="Q71" s="54">
        <f t="shared" si="42"/>
        <v>0</v>
      </c>
      <c r="R71" s="54">
        <f t="shared" si="42"/>
        <v>0</v>
      </c>
      <c r="S71" s="54">
        <f t="shared" si="42"/>
        <v>0</v>
      </c>
      <c r="T71" s="54">
        <f t="shared" si="42"/>
        <v>0</v>
      </c>
      <c r="U71" s="54">
        <f t="shared" si="42"/>
        <v>0</v>
      </c>
      <c r="V71" s="173"/>
    </row>
    <row r="72" spans="1:23" ht="25.5">
      <c r="A72" s="154"/>
      <c r="B72" s="232"/>
      <c r="C72" s="89" t="s">
        <v>8</v>
      </c>
      <c r="D72" s="90"/>
      <c r="E72" s="90"/>
      <c r="F72" s="152"/>
      <c r="G72" s="152"/>
      <c r="H72" s="152"/>
      <c r="I72" s="90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174"/>
    </row>
    <row r="73" spans="1:23" ht="25.5">
      <c r="A73" s="154"/>
      <c r="B73" s="232"/>
      <c r="C73" s="89" t="s">
        <v>15</v>
      </c>
      <c r="D73" s="90" t="s">
        <v>23</v>
      </c>
      <c r="E73" s="90" t="s">
        <v>66</v>
      </c>
      <c r="F73" s="152" t="s">
        <v>90</v>
      </c>
      <c r="G73" s="153"/>
      <c r="H73" s="153"/>
      <c r="I73" s="90">
        <v>244</v>
      </c>
      <c r="J73" s="2">
        <v>200000</v>
      </c>
      <c r="K73" s="2">
        <v>200000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3"/>
      <c r="S73" s="23"/>
      <c r="T73" s="23"/>
      <c r="U73" s="23"/>
      <c r="V73" s="175"/>
      <c r="W73" s="19"/>
    </row>
    <row r="74" spans="1:23" ht="38.25">
      <c r="A74" s="221"/>
      <c r="B74" s="164" t="s">
        <v>110</v>
      </c>
      <c r="C74" s="92" t="s">
        <v>11</v>
      </c>
      <c r="D74" s="92"/>
      <c r="E74" s="92"/>
      <c r="F74" s="161"/>
      <c r="G74" s="162"/>
      <c r="H74" s="163"/>
      <c r="I74" s="92"/>
      <c r="J74" s="111">
        <f t="shared" ref="J74:U74" si="43">J76</f>
        <v>8413000</v>
      </c>
      <c r="K74" s="111">
        <f t="shared" si="43"/>
        <v>8392671.2599999998</v>
      </c>
      <c r="L74" s="111">
        <f t="shared" si="43"/>
        <v>3200000</v>
      </c>
      <c r="M74" s="111">
        <f t="shared" si="43"/>
        <v>2952313.73</v>
      </c>
      <c r="N74" s="111">
        <f t="shared" si="43"/>
        <v>4435346.0599999996</v>
      </c>
      <c r="O74" s="111">
        <f t="shared" si="43"/>
        <v>3988085.73</v>
      </c>
      <c r="P74" s="111">
        <f t="shared" si="43"/>
        <v>5120000</v>
      </c>
      <c r="Q74" s="111">
        <f t="shared" si="43"/>
        <v>5307935.2300000004</v>
      </c>
      <c r="R74" s="112">
        <f>R76</f>
        <v>8413000</v>
      </c>
      <c r="S74" s="112">
        <f t="shared" si="43"/>
        <v>8413000</v>
      </c>
      <c r="T74" s="112">
        <f t="shared" si="43"/>
        <v>8813000</v>
      </c>
      <c r="U74" s="112">
        <f t="shared" si="43"/>
        <v>8413000</v>
      </c>
      <c r="V74" s="77"/>
      <c r="W74" s="19"/>
    </row>
    <row r="75" spans="1:23" ht="25.5">
      <c r="A75" s="222"/>
      <c r="B75" s="165"/>
      <c r="C75" s="89" t="s">
        <v>8</v>
      </c>
      <c r="D75" s="90"/>
      <c r="E75" s="90"/>
      <c r="F75" s="227"/>
      <c r="G75" s="228"/>
      <c r="H75" s="229"/>
      <c r="I75" s="90"/>
      <c r="J75" s="2"/>
      <c r="K75" s="2"/>
      <c r="L75" s="2"/>
      <c r="M75" s="2"/>
      <c r="N75" s="2"/>
      <c r="O75" s="2"/>
      <c r="P75" s="2"/>
      <c r="Q75" s="2"/>
      <c r="R75" s="23"/>
      <c r="S75" s="23"/>
      <c r="T75" s="23"/>
      <c r="U75" s="23"/>
      <c r="V75" s="77"/>
      <c r="W75" s="19"/>
    </row>
    <row r="76" spans="1:23" ht="27.75" customHeight="1">
      <c r="A76" s="223"/>
      <c r="B76" s="166"/>
      <c r="C76" s="89" t="s">
        <v>109</v>
      </c>
      <c r="D76" s="127" t="s">
        <v>114</v>
      </c>
      <c r="E76" s="128">
        <v>113</v>
      </c>
      <c r="F76" s="224" t="s">
        <v>123</v>
      </c>
      <c r="G76" s="225"/>
      <c r="H76" s="226"/>
      <c r="I76" s="129">
        <v>244</v>
      </c>
      <c r="J76" s="130">
        <v>8413000</v>
      </c>
      <c r="K76" s="130">
        <v>8392671.2599999998</v>
      </c>
      <c r="L76" s="131">
        <v>3200000</v>
      </c>
      <c r="M76" s="131">
        <v>2952313.73</v>
      </c>
      <c r="N76" s="2">
        <v>4435346.0599999996</v>
      </c>
      <c r="O76" s="2">
        <v>3988085.73</v>
      </c>
      <c r="P76" s="2">
        <v>5120000</v>
      </c>
      <c r="Q76" s="2">
        <v>5307935.2300000004</v>
      </c>
      <c r="R76" s="2">
        <v>8413000</v>
      </c>
      <c r="S76" s="2">
        <v>8413000</v>
      </c>
      <c r="T76" s="2">
        <v>8813000</v>
      </c>
      <c r="U76" s="2">
        <v>8413000</v>
      </c>
      <c r="V76" s="114"/>
      <c r="W76" s="19"/>
    </row>
    <row r="77" spans="1:23" ht="27.75" customHeight="1">
      <c r="A77" s="221"/>
      <c r="B77" s="164" t="s">
        <v>111</v>
      </c>
      <c r="C77" s="92" t="s">
        <v>11</v>
      </c>
      <c r="D77" s="92"/>
      <c r="E77" s="92"/>
      <c r="F77" s="161"/>
      <c r="G77" s="162"/>
      <c r="H77" s="163"/>
      <c r="I77" s="92"/>
      <c r="J77" s="95">
        <f>J79</f>
        <v>225000</v>
      </c>
      <c r="K77" s="95">
        <f t="shared" ref="K77:U77" si="44">K79</f>
        <v>225000</v>
      </c>
      <c r="L77" s="95">
        <v>0</v>
      </c>
      <c r="M77" s="95">
        <v>0</v>
      </c>
      <c r="N77" s="95">
        <v>0</v>
      </c>
      <c r="O77" s="95">
        <v>0</v>
      </c>
      <c r="P77" s="54">
        <f t="shared" ref="P77:Q77" si="45">P79</f>
        <v>6425000</v>
      </c>
      <c r="Q77" s="54">
        <f t="shared" si="45"/>
        <v>6425000</v>
      </c>
      <c r="R77" s="82">
        <f t="shared" si="44"/>
        <v>22700000</v>
      </c>
      <c r="S77" s="82">
        <f t="shared" si="44"/>
        <v>21649677.120000001</v>
      </c>
      <c r="T77" s="82">
        <f t="shared" si="44"/>
        <v>0</v>
      </c>
      <c r="U77" s="82">
        <f t="shared" si="44"/>
        <v>0</v>
      </c>
      <c r="V77" s="230" t="s">
        <v>122</v>
      </c>
      <c r="W77" s="19"/>
    </row>
    <row r="78" spans="1:23" ht="23.25" customHeight="1">
      <c r="A78" s="222"/>
      <c r="B78" s="165"/>
      <c r="C78" s="89" t="s">
        <v>8</v>
      </c>
      <c r="D78" s="90"/>
      <c r="E78" s="90"/>
      <c r="F78" s="227"/>
      <c r="G78" s="228"/>
      <c r="H78" s="229"/>
      <c r="I78" s="90"/>
      <c r="J78" s="87"/>
      <c r="K78" s="87"/>
      <c r="L78" s="110"/>
      <c r="M78" s="110"/>
      <c r="N78" s="110"/>
      <c r="O78" s="110"/>
      <c r="P78" s="2"/>
      <c r="Q78" s="2"/>
      <c r="R78" s="88"/>
      <c r="S78" s="93"/>
      <c r="T78" s="88"/>
      <c r="U78" s="88"/>
      <c r="V78" s="230"/>
      <c r="W78" s="19"/>
    </row>
    <row r="79" spans="1:23" ht="27.75" customHeight="1">
      <c r="A79" s="223"/>
      <c r="B79" s="166"/>
      <c r="C79" s="89" t="s">
        <v>109</v>
      </c>
      <c r="D79" s="113" t="s">
        <v>114</v>
      </c>
      <c r="E79" s="113" t="s">
        <v>66</v>
      </c>
      <c r="F79" s="227" t="s">
        <v>121</v>
      </c>
      <c r="G79" s="228"/>
      <c r="H79" s="229"/>
      <c r="I79" s="113" t="s">
        <v>120</v>
      </c>
      <c r="J79" s="132">
        <v>225000</v>
      </c>
      <c r="K79" s="132">
        <v>225000</v>
      </c>
      <c r="L79" s="110">
        <v>0</v>
      </c>
      <c r="M79" s="110">
        <v>0</v>
      </c>
      <c r="N79" s="110">
        <v>0</v>
      </c>
      <c r="O79" s="110">
        <v>0</v>
      </c>
      <c r="P79" s="2">
        <v>6425000</v>
      </c>
      <c r="Q79" s="2">
        <v>6425000</v>
      </c>
      <c r="R79" s="133">
        <v>22700000</v>
      </c>
      <c r="S79" s="134">
        <v>21649677.120000001</v>
      </c>
      <c r="T79" s="132">
        <v>0</v>
      </c>
      <c r="U79" s="132">
        <v>0</v>
      </c>
      <c r="V79" s="230"/>
      <c r="W79" s="19"/>
    </row>
    <row r="80" spans="1:23" ht="38.25">
      <c r="A80" s="154"/>
      <c r="B80" s="232" t="s">
        <v>89</v>
      </c>
      <c r="C80" s="92" t="s">
        <v>11</v>
      </c>
      <c r="D80" s="91"/>
      <c r="E80" s="91"/>
      <c r="F80" s="160"/>
      <c r="G80" s="160"/>
      <c r="H80" s="160"/>
      <c r="I80" s="91"/>
      <c r="J80" s="54">
        <f t="shared" ref="J80:K80" si="46">J82</f>
        <v>68000</v>
      </c>
      <c r="K80" s="54">
        <f t="shared" si="46"/>
        <v>68000</v>
      </c>
      <c r="L80" s="54">
        <f>L82</f>
        <v>0</v>
      </c>
      <c r="M80" s="54">
        <f t="shared" ref="M80:U80" si="47">M82</f>
        <v>0</v>
      </c>
      <c r="N80" s="54">
        <f t="shared" si="47"/>
        <v>0</v>
      </c>
      <c r="O80" s="54">
        <f t="shared" si="47"/>
        <v>0</v>
      </c>
      <c r="P80" s="54">
        <f t="shared" si="47"/>
        <v>0</v>
      </c>
      <c r="Q80" s="54">
        <f t="shared" si="47"/>
        <v>0</v>
      </c>
      <c r="R80" s="54">
        <f t="shared" si="47"/>
        <v>0</v>
      </c>
      <c r="S80" s="54">
        <f t="shared" si="47"/>
        <v>0</v>
      </c>
      <c r="T80" s="54">
        <f t="shared" si="47"/>
        <v>0</v>
      </c>
      <c r="U80" s="54">
        <f t="shared" si="47"/>
        <v>0</v>
      </c>
      <c r="V80" s="173"/>
    </row>
    <row r="81" spans="1:23" ht="25.5">
      <c r="A81" s="154"/>
      <c r="B81" s="232"/>
      <c r="C81" s="89" t="s">
        <v>8</v>
      </c>
      <c r="D81" s="90"/>
      <c r="E81" s="90"/>
      <c r="F81" s="152"/>
      <c r="G81" s="152"/>
      <c r="H81" s="152"/>
      <c r="I81" s="90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174"/>
    </row>
    <row r="82" spans="1:23" ht="25.5">
      <c r="A82" s="154"/>
      <c r="B82" s="232"/>
      <c r="C82" s="89" t="s">
        <v>15</v>
      </c>
      <c r="D82" s="90" t="s">
        <v>23</v>
      </c>
      <c r="E82" s="90" t="s">
        <v>66</v>
      </c>
      <c r="F82" s="153" t="s">
        <v>35</v>
      </c>
      <c r="G82" s="153"/>
      <c r="H82" s="153"/>
      <c r="I82" s="90">
        <v>244</v>
      </c>
      <c r="J82" s="2">
        <v>68000</v>
      </c>
      <c r="K82" s="2">
        <v>68000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3">
        <v>0</v>
      </c>
      <c r="S82" s="23">
        <v>0</v>
      </c>
      <c r="T82" s="23">
        <v>0</v>
      </c>
      <c r="U82" s="23">
        <v>0</v>
      </c>
      <c r="V82" s="175"/>
      <c r="W82" s="19"/>
    </row>
    <row r="83" spans="1:23" ht="38.25">
      <c r="A83" s="158" t="s">
        <v>13</v>
      </c>
      <c r="B83" s="158" t="s">
        <v>16</v>
      </c>
      <c r="C83" s="92" t="s">
        <v>11</v>
      </c>
      <c r="D83" s="91"/>
      <c r="E83" s="91"/>
      <c r="F83" s="159" t="s">
        <v>37</v>
      </c>
      <c r="G83" s="159"/>
      <c r="H83" s="159"/>
      <c r="I83" s="91"/>
      <c r="J83" s="54">
        <f t="shared" ref="J83:K83" si="48">J85</f>
        <v>90386119</v>
      </c>
      <c r="K83" s="54">
        <f t="shared" si="48"/>
        <v>89701060.289999992</v>
      </c>
      <c r="L83" s="54">
        <f>L85</f>
        <v>22492710</v>
      </c>
      <c r="M83" s="54">
        <f t="shared" ref="M83:U83" si="49">M85</f>
        <v>22399034.899999999</v>
      </c>
      <c r="N83" s="54">
        <f t="shared" si="49"/>
        <v>51253940</v>
      </c>
      <c r="O83" s="54">
        <f t="shared" si="49"/>
        <v>51155631.799999997</v>
      </c>
      <c r="P83" s="54">
        <f t="shared" si="49"/>
        <v>64498407</v>
      </c>
      <c r="Q83" s="54">
        <f t="shared" si="49"/>
        <v>64359933.93</v>
      </c>
      <c r="R83" s="54">
        <f t="shared" si="49"/>
        <v>86605725</v>
      </c>
      <c r="S83" s="54">
        <f t="shared" si="49"/>
        <v>86594064.980000004</v>
      </c>
      <c r="T83" s="54">
        <f t="shared" si="49"/>
        <v>87564119</v>
      </c>
      <c r="U83" s="54">
        <f t="shared" si="49"/>
        <v>87564119</v>
      </c>
      <c r="V83" s="173"/>
    </row>
    <row r="84" spans="1:23" ht="25.5">
      <c r="A84" s="158"/>
      <c r="B84" s="158"/>
      <c r="C84" s="89" t="s">
        <v>8</v>
      </c>
      <c r="D84" s="90"/>
      <c r="E84" s="90"/>
      <c r="F84" s="152"/>
      <c r="G84" s="152"/>
      <c r="H84" s="152"/>
      <c r="I84" s="90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174"/>
    </row>
    <row r="85" spans="1:23" ht="25.5">
      <c r="A85" s="158"/>
      <c r="B85" s="158"/>
      <c r="C85" s="92" t="s">
        <v>15</v>
      </c>
      <c r="D85" s="91"/>
      <c r="E85" s="91"/>
      <c r="F85" s="160"/>
      <c r="G85" s="160"/>
      <c r="H85" s="160"/>
      <c r="I85" s="91"/>
      <c r="J85" s="54">
        <f t="shared" ref="J85:U85" si="50">J86+J89</f>
        <v>90386119</v>
      </c>
      <c r="K85" s="54">
        <f t="shared" si="50"/>
        <v>89701060.289999992</v>
      </c>
      <c r="L85" s="54">
        <f t="shared" si="50"/>
        <v>22492710</v>
      </c>
      <c r="M85" s="54">
        <f t="shared" si="50"/>
        <v>22399034.899999999</v>
      </c>
      <c r="N85" s="54">
        <f t="shared" si="50"/>
        <v>51253940</v>
      </c>
      <c r="O85" s="54">
        <f t="shared" si="50"/>
        <v>51155631.799999997</v>
      </c>
      <c r="P85" s="54">
        <f t="shared" si="50"/>
        <v>64498407</v>
      </c>
      <c r="Q85" s="54">
        <f t="shared" si="50"/>
        <v>64359933.93</v>
      </c>
      <c r="R85" s="56">
        <f t="shared" si="50"/>
        <v>86605725</v>
      </c>
      <c r="S85" s="56">
        <f t="shared" si="50"/>
        <v>86594064.980000004</v>
      </c>
      <c r="T85" s="56">
        <f t="shared" si="50"/>
        <v>87564119</v>
      </c>
      <c r="U85" s="56">
        <f t="shared" si="50"/>
        <v>87564119</v>
      </c>
      <c r="V85" s="175"/>
    </row>
    <row r="86" spans="1:23" ht="38.25" customHeight="1">
      <c r="A86" s="154"/>
      <c r="B86" s="154" t="s">
        <v>40</v>
      </c>
      <c r="C86" s="92" t="s">
        <v>11</v>
      </c>
      <c r="D86" s="91"/>
      <c r="E86" s="91"/>
      <c r="F86" s="155"/>
      <c r="G86" s="156"/>
      <c r="H86" s="157"/>
      <c r="I86" s="91"/>
      <c r="J86" s="54">
        <f t="shared" ref="J86:K86" si="51">J88</f>
        <v>83879615</v>
      </c>
      <c r="K86" s="54">
        <f t="shared" si="51"/>
        <v>83533823.519999996</v>
      </c>
      <c r="L86" s="54">
        <f>L88</f>
        <v>20922820</v>
      </c>
      <c r="M86" s="54">
        <f t="shared" ref="M86:U86" si="52">M88</f>
        <v>20922820</v>
      </c>
      <c r="N86" s="54">
        <f t="shared" si="52"/>
        <v>48146160</v>
      </c>
      <c r="O86" s="54">
        <f t="shared" si="52"/>
        <v>48146160</v>
      </c>
      <c r="P86" s="54">
        <f t="shared" si="52"/>
        <v>59862130</v>
      </c>
      <c r="Q86" s="54">
        <f t="shared" si="52"/>
        <v>59862130</v>
      </c>
      <c r="R86" s="54">
        <f t="shared" si="52"/>
        <v>80456004</v>
      </c>
      <c r="S86" s="54">
        <f t="shared" si="52"/>
        <v>80456004</v>
      </c>
      <c r="T86" s="54">
        <f t="shared" si="52"/>
        <v>81359398</v>
      </c>
      <c r="U86" s="54">
        <f t="shared" si="52"/>
        <v>81359398</v>
      </c>
      <c r="V86" s="170"/>
    </row>
    <row r="87" spans="1:23" ht="25.5">
      <c r="A87" s="154"/>
      <c r="B87" s="154"/>
      <c r="C87" s="89" t="s">
        <v>8</v>
      </c>
      <c r="D87" s="90"/>
      <c r="E87" s="90"/>
      <c r="F87" s="152"/>
      <c r="G87" s="152"/>
      <c r="H87" s="152"/>
      <c r="I87" s="90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171"/>
    </row>
    <row r="88" spans="1:23" ht="92.45" customHeight="1">
      <c r="A88" s="154"/>
      <c r="B88" s="154"/>
      <c r="C88" s="89" t="s">
        <v>15</v>
      </c>
      <c r="D88" s="90" t="s">
        <v>23</v>
      </c>
      <c r="E88" s="90" t="s">
        <v>68</v>
      </c>
      <c r="F88" s="153" t="s">
        <v>38</v>
      </c>
      <c r="G88" s="153"/>
      <c r="H88" s="153"/>
      <c r="I88" s="90">
        <v>611</v>
      </c>
      <c r="J88" s="2">
        <v>83879615</v>
      </c>
      <c r="K88" s="2">
        <v>83533823.519999996</v>
      </c>
      <c r="L88" s="2">
        <v>20922820</v>
      </c>
      <c r="M88" s="2">
        <v>20922820</v>
      </c>
      <c r="N88" s="2">
        <f>48485160-339000</f>
        <v>48146160</v>
      </c>
      <c r="O88" s="2">
        <f>48485160-339000</f>
        <v>48146160</v>
      </c>
      <c r="P88" s="2">
        <f>60433130-339000-408000+176000</f>
        <v>59862130</v>
      </c>
      <c r="Q88" s="2">
        <f>60433130-339000-408000+176000</f>
        <v>59862130</v>
      </c>
      <c r="R88" s="23">
        <v>80456004</v>
      </c>
      <c r="S88" s="23">
        <v>80456004</v>
      </c>
      <c r="T88" s="23">
        <v>81359398</v>
      </c>
      <c r="U88" s="23">
        <v>81359398</v>
      </c>
      <c r="V88" s="172"/>
      <c r="W88" s="19"/>
    </row>
    <row r="89" spans="1:23" ht="38.25">
      <c r="A89" s="179"/>
      <c r="B89" s="179" t="s">
        <v>21</v>
      </c>
      <c r="C89" s="92" t="s">
        <v>11</v>
      </c>
      <c r="D89" s="91"/>
      <c r="E89" s="91"/>
      <c r="F89" s="160"/>
      <c r="G89" s="160"/>
      <c r="H89" s="160"/>
      <c r="I89" s="91"/>
      <c r="J89" s="54">
        <f t="shared" ref="J89:K89" si="53">SUM(J91:J93)</f>
        <v>6506504</v>
      </c>
      <c r="K89" s="54">
        <f t="shared" si="53"/>
        <v>6167236.7700000005</v>
      </c>
      <c r="L89" s="54">
        <f>SUM(L91:L93)</f>
        <v>1569890</v>
      </c>
      <c r="M89" s="54">
        <f t="shared" ref="M89:U89" si="54">SUM(M91:M93)</f>
        <v>1476214.9</v>
      </c>
      <c r="N89" s="54">
        <f t="shared" si="54"/>
        <v>3107780</v>
      </c>
      <c r="O89" s="54">
        <f t="shared" si="54"/>
        <v>3009471.8000000003</v>
      </c>
      <c r="P89" s="54">
        <f t="shared" si="54"/>
        <v>4636277</v>
      </c>
      <c r="Q89" s="54">
        <f t="shared" si="54"/>
        <v>4497803.9300000006</v>
      </c>
      <c r="R89" s="126">
        <f t="shared" si="54"/>
        <v>6149721</v>
      </c>
      <c r="S89" s="126">
        <f t="shared" si="54"/>
        <v>6138060.9799999995</v>
      </c>
      <c r="T89" s="54">
        <f t="shared" si="54"/>
        <v>6204721</v>
      </c>
      <c r="U89" s="54">
        <f t="shared" si="54"/>
        <v>6204721</v>
      </c>
      <c r="V89" s="167" t="s">
        <v>125</v>
      </c>
      <c r="W89" s="253"/>
    </row>
    <row r="90" spans="1:23" ht="25.5">
      <c r="A90" s="179"/>
      <c r="B90" s="179"/>
      <c r="C90" s="89" t="s">
        <v>8</v>
      </c>
      <c r="D90" s="90"/>
      <c r="E90" s="90"/>
      <c r="F90" s="152"/>
      <c r="G90" s="152"/>
      <c r="H90" s="152"/>
      <c r="I90" s="90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168"/>
      <c r="W90" s="253"/>
    </row>
    <row r="91" spans="1:23">
      <c r="A91" s="179"/>
      <c r="B91" s="179"/>
      <c r="C91" s="180" t="s">
        <v>15</v>
      </c>
      <c r="D91" s="90" t="s">
        <v>23</v>
      </c>
      <c r="E91" s="90" t="s">
        <v>66</v>
      </c>
      <c r="F91" s="153" t="s">
        <v>39</v>
      </c>
      <c r="G91" s="153"/>
      <c r="H91" s="153"/>
      <c r="I91" s="90">
        <v>111</v>
      </c>
      <c r="J91" s="2">
        <v>5458846</v>
      </c>
      <c r="K91" s="2">
        <v>5430698.4400000004</v>
      </c>
      <c r="L91" s="2">
        <v>1440000</v>
      </c>
      <c r="M91" s="2">
        <v>1384565.16</v>
      </c>
      <c r="N91" s="2">
        <f>2845000+10000</f>
        <v>2855000</v>
      </c>
      <c r="O91" s="2">
        <v>2819317.99</v>
      </c>
      <c r="P91" s="2">
        <f>4277000</f>
        <v>4277000</v>
      </c>
      <c r="Q91" s="2">
        <v>4216319.4000000004</v>
      </c>
      <c r="R91" s="23">
        <v>5661026</v>
      </c>
      <c r="S91" s="23">
        <v>5652941.71</v>
      </c>
      <c r="T91" s="23">
        <v>5661026</v>
      </c>
      <c r="U91" s="23">
        <v>5661026</v>
      </c>
      <c r="V91" s="168"/>
      <c r="W91" s="253"/>
    </row>
    <row r="92" spans="1:23">
      <c r="A92" s="179"/>
      <c r="B92" s="179"/>
      <c r="C92" s="180"/>
      <c r="D92" s="90" t="s">
        <v>23</v>
      </c>
      <c r="E92" s="90" t="s">
        <v>66</v>
      </c>
      <c r="F92" s="153" t="s">
        <v>39</v>
      </c>
      <c r="G92" s="153"/>
      <c r="H92" s="153"/>
      <c r="I92" s="90">
        <v>112</v>
      </c>
      <c r="J92" s="2">
        <v>99406</v>
      </c>
      <c r="K92" s="2">
        <v>41042</v>
      </c>
      <c r="L92" s="2">
        <v>390</v>
      </c>
      <c r="M92" s="2">
        <v>257.89999999999998</v>
      </c>
      <c r="N92" s="2">
        <v>780</v>
      </c>
      <c r="O92" s="2">
        <v>647.9</v>
      </c>
      <c r="P92" s="2">
        <f>23180-7050-14700</f>
        <v>1430</v>
      </c>
      <c r="Q92" s="2">
        <v>1037.9000000000001</v>
      </c>
      <c r="R92" s="23">
        <f>24530-8400-14700</f>
        <v>1430</v>
      </c>
      <c r="S92" s="23">
        <v>1283.22</v>
      </c>
      <c r="T92" s="23">
        <v>24530</v>
      </c>
      <c r="U92" s="23">
        <v>24530</v>
      </c>
      <c r="V92" s="168"/>
      <c r="W92" s="253"/>
    </row>
    <row r="93" spans="1:23" ht="21.6" customHeight="1">
      <c r="A93" s="179"/>
      <c r="B93" s="179"/>
      <c r="C93" s="180"/>
      <c r="D93" s="90" t="s">
        <v>23</v>
      </c>
      <c r="E93" s="90" t="s">
        <v>66</v>
      </c>
      <c r="F93" s="153" t="s">
        <v>39</v>
      </c>
      <c r="G93" s="153"/>
      <c r="H93" s="153"/>
      <c r="I93" s="90">
        <v>244</v>
      </c>
      <c r="J93" s="2">
        <v>948252</v>
      </c>
      <c r="K93" s="2">
        <v>695496.33</v>
      </c>
      <c r="L93" s="2">
        <v>129500</v>
      </c>
      <c r="M93" s="2">
        <v>91391.84</v>
      </c>
      <c r="N93" s="2">
        <v>252000</v>
      </c>
      <c r="O93" s="2">
        <v>189505.91</v>
      </c>
      <c r="P93" s="2">
        <f>379800-21953</f>
        <v>357847</v>
      </c>
      <c r="Q93" s="2">
        <v>280446.63</v>
      </c>
      <c r="R93" s="23">
        <f>519165-31900</f>
        <v>487265</v>
      </c>
      <c r="S93" s="23">
        <v>483836.05</v>
      </c>
      <c r="T93" s="23">
        <v>519165</v>
      </c>
      <c r="U93" s="23">
        <v>519165</v>
      </c>
      <c r="V93" s="169"/>
      <c r="W93" s="19"/>
    </row>
    <row r="94" spans="1:23" ht="36" customHeight="1">
      <c r="A94" s="176" t="s">
        <v>85</v>
      </c>
      <c r="B94" s="176" t="s">
        <v>86</v>
      </c>
      <c r="C94" s="92" t="s">
        <v>11</v>
      </c>
      <c r="D94" s="92"/>
      <c r="E94" s="92"/>
      <c r="F94" s="161" t="s">
        <v>113</v>
      </c>
      <c r="G94" s="162"/>
      <c r="H94" s="163"/>
      <c r="I94" s="92"/>
      <c r="J94" s="95">
        <f t="shared" ref="J94:U94" si="55">J96</f>
        <v>6755265</v>
      </c>
      <c r="K94" s="95">
        <f t="shared" si="55"/>
        <v>6656315.1700000009</v>
      </c>
      <c r="L94" s="111">
        <f t="shared" si="55"/>
        <v>1525209.8</v>
      </c>
      <c r="M94" s="111">
        <f t="shared" si="55"/>
        <v>1436719.9100000001</v>
      </c>
      <c r="N94" s="111">
        <f t="shared" si="55"/>
        <v>3229164.18</v>
      </c>
      <c r="O94" s="111">
        <f t="shared" si="55"/>
        <v>3077712.3600000003</v>
      </c>
      <c r="P94" s="111">
        <f t="shared" si="55"/>
        <v>6906750.1799999997</v>
      </c>
      <c r="Q94" s="111">
        <f t="shared" si="55"/>
        <v>6365776.3200000003</v>
      </c>
      <c r="R94" s="112">
        <f t="shared" si="55"/>
        <v>8681963</v>
      </c>
      <c r="S94" s="112">
        <f t="shared" si="55"/>
        <v>8570821.0399999991</v>
      </c>
      <c r="T94" s="112">
        <f t="shared" si="55"/>
        <v>6537263</v>
      </c>
      <c r="U94" s="112">
        <f t="shared" si="55"/>
        <v>6537263</v>
      </c>
      <c r="V94" s="78"/>
    </row>
    <row r="95" spans="1:23" ht="25.5">
      <c r="A95" s="177"/>
      <c r="B95" s="177"/>
      <c r="C95" s="96" t="s">
        <v>8</v>
      </c>
      <c r="D95" s="97"/>
      <c r="E95" s="98"/>
      <c r="F95" s="194"/>
      <c r="G95" s="195"/>
      <c r="H95" s="196"/>
      <c r="I95" s="99"/>
      <c r="J95" s="100"/>
      <c r="K95" s="100"/>
      <c r="L95" s="101"/>
      <c r="M95" s="102"/>
      <c r="N95" s="103"/>
      <c r="O95" s="103"/>
      <c r="P95" s="104"/>
      <c r="Q95" s="104"/>
      <c r="R95" s="79"/>
      <c r="S95" s="79"/>
      <c r="T95" s="80"/>
      <c r="U95" s="80"/>
      <c r="V95" s="81"/>
    </row>
    <row r="96" spans="1:23" s="119" customFormat="1" ht="38.25">
      <c r="A96" s="178"/>
      <c r="B96" s="178"/>
      <c r="C96" s="115" t="s">
        <v>109</v>
      </c>
      <c r="D96" s="115"/>
      <c r="E96" s="115"/>
      <c r="F96" s="197"/>
      <c r="G96" s="198"/>
      <c r="H96" s="199"/>
      <c r="I96" s="115"/>
      <c r="J96" s="122">
        <f t="shared" ref="J96:U96" si="56">J97+J104</f>
        <v>6755265</v>
      </c>
      <c r="K96" s="122">
        <f t="shared" si="56"/>
        <v>6656315.1700000009</v>
      </c>
      <c r="L96" s="116">
        <f t="shared" si="56"/>
        <v>1525209.8</v>
      </c>
      <c r="M96" s="116">
        <f t="shared" si="56"/>
        <v>1436719.9100000001</v>
      </c>
      <c r="N96" s="116">
        <f t="shared" si="56"/>
        <v>3229164.18</v>
      </c>
      <c r="O96" s="116">
        <f t="shared" si="56"/>
        <v>3077712.3600000003</v>
      </c>
      <c r="P96" s="116">
        <f t="shared" si="56"/>
        <v>6906750.1799999997</v>
      </c>
      <c r="Q96" s="116">
        <f t="shared" si="56"/>
        <v>6365776.3200000003</v>
      </c>
      <c r="R96" s="120">
        <f t="shared" si="56"/>
        <v>8681963</v>
      </c>
      <c r="S96" s="120">
        <f t="shared" si="56"/>
        <v>8570821.0399999991</v>
      </c>
      <c r="T96" s="120">
        <f t="shared" si="56"/>
        <v>6537263</v>
      </c>
      <c r="U96" s="120">
        <f t="shared" si="56"/>
        <v>6537263</v>
      </c>
      <c r="V96" s="123"/>
      <c r="W96" s="118"/>
    </row>
    <row r="97" spans="1:26" ht="36" customHeight="1">
      <c r="A97" s="206"/>
      <c r="B97" s="203" t="s">
        <v>112</v>
      </c>
      <c r="C97" s="92" t="s">
        <v>11</v>
      </c>
      <c r="D97" s="92"/>
      <c r="E97" s="92"/>
      <c r="F97" s="161" t="s">
        <v>113</v>
      </c>
      <c r="G97" s="162"/>
      <c r="H97" s="163"/>
      <c r="I97" s="92"/>
      <c r="J97" s="111">
        <f>J99+J100+J101+J102+J103</f>
        <v>6755265</v>
      </c>
      <c r="K97" s="111">
        <f>K99+K100+K101+K102+K103</f>
        <v>6656315.1700000009</v>
      </c>
      <c r="L97" s="111">
        <f>L99+L100+L101+L102+L103</f>
        <v>1525209.8</v>
      </c>
      <c r="M97" s="111">
        <f t="shared" ref="M97:U97" si="57">SUM(M99:M103)</f>
        <v>1436719.9100000001</v>
      </c>
      <c r="N97" s="111">
        <f t="shared" si="57"/>
        <v>3229164.18</v>
      </c>
      <c r="O97" s="111">
        <f t="shared" si="57"/>
        <v>3077712.3600000003</v>
      </c>
      <c r="P97" s="111">
        <f t="shared" si="57"/>
        <v>4712050.18</v>
      </c>
      <c r="Q97" s="111">
        <f t="shared" si="57"/>
        <v>4447357.76</v>
      </c>
      <c r="R97" s="112">
        <f t="shared" si="57"/>
        <v>6487263</v>
      </c>
      <c r="S97" s="112">
        <f t="shared" si="57"/>
        <v>6376125.1200000001</v>
      </c>
      <c r="T97" s="112">
        <f t="shared" si="57"/>
        <v>6537263</v>
      </c>
      <c r="U97" s="112">
        <f t="shared" si="57"/>
        <v>6537263</v>
      </c>
      <c r="V97" s="249" t="s">
        <v>124</v>
      </c>
      <c r="W97" s="83"/>
      <c r="X97" s="83"/>
      <c r="Y97" s="83"/>
      <c r="Z97" s="83"/>
    </row>
    <row r="98" spans="1:26" ht="25.5">
      <c r="A98" s="207"/>
      <c r="B98" s="204"/>
      <c r="C98" s="96" t="s">
        <v>8</v>
      </c>
      <c r="D98" s="97"/>
      <c r="E98" s="98"/>
      <c r="F98" s="200"/>
      <c r="G98" s="201"/>
      <c r="H98" s="202"/>
      <c r="I98" s="99"/>
      <c r="J98" s="105"/>
      <c r="K98" s="105"/>
      <c r="L98" s="106"/>
      <c r="M98" s="102"/>
      <c r="N98" s="107"/>
      <c r="O98" s="107"/>
      <c r="P98" s="108"/>
      <c r="Q98" s="108"/>
      <c r="R98" s="84"/>
      <c r="S98" s="84"/>
      <c r="T98" s="85"/>
      <c r="U98" s="85"/>
      <c r="V98" s="250"/>
      <c r="W98" s="83"/>
      <c r="X98" s="83"/>
      <c r="Y98" s="83"/>
      <c r="Z98" s="83"/>
    </row>
    <row r="99" spans="1:26">
      <c r="A99" s="207"/>
      <c r="B99" s="204"/>
      <c r="C99" s="209" t="s">
        <v>109</v>
      </c>
      <c r="D99" s="135" t="s">
        <v>114</v>
      </c>
      <c r="E99" s="136">
        <v>113</v>
      </c>
      <c r="F99" s="181" t="s">
        <v>113</v>
      </c>
      <c r="G99" s="182"/>
      <c r="H99" s="183"/>
      <c r="I99" s="137">
        <v>111</v>
      </c>
      <c r="J99" s="138">
        <v>4452472</v>
      </c>
      <c r="K99" s="138">
        <v>4445951.67</v>
      </c>
      <c r="L99" s="139">
        <v>1099951</v>
      </c>
      <c r="M99" s="139">
        <v>1030144.69</v>
      </c>
      <c r="N99" s="140">
        <v>2198752</v>
      </c>
      <c r="O99" s="140">
        <v>2091655.08</v>
      </c>
      <c r="P99" s="140">
        <v>3398128</v>
      </c>
      <c r="Q99" s="140">
        <v>3146025.83</v>
      </c>
      <c r="R99" s="84">
        <v>4306010</v>
      </c>
      <c r="S99" s="84">
        <v>4297225.25</v>
      </c>
      <c r="T99" s="141">
        <v>4306010</v>
      </c>
      <c r="U99" s="141">
        <v>4306010</v>
      </c>
      <c r="V99" s="250"/>
      <c r="W99" s="142"/>
      <c r="X99" s="142"/>
      <c r="Y99" s="142"/>
      <c r="Z99" s="142"/>
    </row>
    <row r="100" spans="1:26">
      <c r="A100" s="207"/>
      <c r="B100" s="204"/>
      <c r="C100" s="210"/>
      <c r="D100" s="135" t="s">
        <v>114</v>
      </c>
      <c r="E100" s="136">
        <v>113</v>
      </c>
      <c r="F100" s="181" t="s">
        <v>113</v>
      </c>
      <c r="G100" s="182"/>
      <c r="H100" s="183"/>
      <c r="I100" s="137">
        <v>112</v>
      </c>
      <c r="J100" s="138">
        <v>29550</v>
      </c>
      <c r="K100" s="138">
        <v>10141.700000000001</v>
      </c>
      <c r="L100" s="139">
        <v>0</v>
      </c>
      <c r="M100" s="139">
        <v>0</v>
      </c>
      <c r="N100" s="140">
        <v>0</v>
      </c>
      <c r="O100" s="140">
        <v>0</v>
      </c>
      <c r="P100" s="140">
        <v>6360</v>
      </c>
      <c r="Q100" s="140">
        <v>6360</v>
      </c>
      <c r="R100" s="84">
        <v>8400</v>
      </c>
      <c r="S100" s="84">
        <v>6151.95</v>
      </c>
      <c r="T100" s="141">
        <v>86300</v>
      </c>
      <c r="U100" s="141">
        <v>86300</v>
      </c>
      <c r="V100" s="250"/>
      <c r="W100" s="142"/>
      <c r="X100" s="142"/>
      <c r="Y100" s="142"/>
      <c r="Z100" s="142"/>
    </row>
    <row r="101" spans="1:26">
      <c r="A101" s="207"/>
      <c r="B101" s="204"/>
      <c r="C101" s="210"/>
      <c r="D101" s="135" t="s">
        <v>114</v>
      </c>
      <c r="E101" s="136">
        <v>113</v>
      </c>
      <c r="F101" s="181" t="s">
        <v>113</v>
      </c>
      <c r="G101" s="182"/>
      <c r="H101" s="183"/>
      <c r="I101" s="137">
        <v>244</v>
      </c>
      <c r="J101" s="138">
        <v>2268643</v>
      </c>
      <c r="K101" s="138">
        <v>2196659.6800000002</v>
      </c>
      <c r="L101" s="139">
        <v>379817.2</v>
      </c>
      <c r="M101" s="139">
        <v>361612.81</v>
      </c>
      <c r="N101" s="140">
        <v>916907.14</v>
      </c>
      <c r="O101" s="140">
        <v>896132.46</v>
      </c>
      <c r="P101" s="140">
        <v>1192657.1399999999</v>
      </c>
      <c r="Q101" s="140">
        <v>1180204.46</v>
      </c>
      <c r="R101" s="84">
        <v>2048253</v>
      </c>
      <c r="S101" s="84">
        <v>1957059.64</v>
      </c>
      <c r="T101" s="141">
        <v>2140353</v>
      </c>
      <c r="U101" s="141">
        <v>2140353</v>
      </c>
      <c r="V101" s="250"/>
      <c r="W101" s="142"/>
      <c r="X101" s="142"/>
      <c r="Y101" s="142"/>
      <c r="Z101" s="142"/>
    </row>
    <row r="102" spans="1:26">
      <c r="A102" s="207"/>
      <c r="B102" s="204"/>
      <c r="C102" s="210"/>
      <c r="D102" s="135" t="s">
        <v>114</v>
      </c>
      <c r="E102" s="136">
        <v>113</v>
      </c>
      <c r="F102" s="181" t="s">
        <v>113</v>
      </c>
      <c r="G102" s="182"/>
      <c r="H102" s="183"/>
      <c r="I102" s="137">
        <v>321</v>
      </c>
      <c r="J102" s="138">
        <v>0</v>
      </c>
      <c r="K102" s="138">
        <v>0</v>
      </c>
      <c r="L102" s="139">
        <v>44041.599999999999</v>
      </c>
      <c r="M102" s="139">
        <v>44041.599999999999</v>
      </c>
      <c r="N102" s="140">
        <v>111205.04</v>
      </c>
      <c r="O102" s="140">
        <v>88083.199999999997</v>
      </c>
      <c r="P102" s="140">
        <v>111205.04</v>
      </c>
      <c r="Q102" s="140">
        <v>111205.04</v>
      </c>
      <c r="R102" s="84">
        <v>120000</v>
      </c>
      <c r="S102" s="84">
        <v>111205.04</v>
      </c>
      <c r="T102" s="141">
        <v>0</v>
      </c>
      <c r="U102" s="141">
        <v>0</v>
      </c>
      <c r="V102" s="250"/>
    </row>
    <row r="103" spans="1:26">
      <c r="A103" s="208"/>
      <c r="B103" s="205"/>
      <c r="C103" s="211"/>
      <c r="D103" s="135" t="s">
        <v>114</v>
      </c>
      <c r="E103" s="136">
        <v>113</v>
      </c>
      <c r="F103" s="181" t="s">
        <v>113</v>
      </c>
      <c r="G103" s="182"/>
      <c r="H103" s="183"/>
      <c r="I103" s="137">
        <v>852</v>
      </c>
      <c r="J103" s="138">
        <v>4600</v>
      </c>
      <c r="K103" s="138">
        <v>3562.12</v>
      </c>
      <c r="L103" s="139">
        <v>1400</v>
      </c>
      <c r="M103" s="139">
        <v>920.81</v>
      </c>
      <c r="N103" s="140">
        <v>2300</v>
      </c>
      <c r="O103" s="140">
        <v>1841.62</v>
      </c>
      <c r="P103" s="140">
        <v>3700</v>
      </c>
      <c r="Q103" s="140">
        <v>3562.43</v>
      </c>
      <c r="R103" s="84">
        <v>4600</v>
      </c>
      <c r="S103" s="84">
        <v>4483.24</v>
      </c>
      <c r="T103" s="141">
        <v>4600</v>
      </c>
      <c r="U103" s="141">
        <v>4600</v>
      </c>
      <c r="V103" s="251"/>
    </row>
    <row r="104" spans="1:26" ht="25.5" customHeight="1">
      <c r="A104" s="190"/>
      <c r="B104" s="184" t="s">
        <v>115</v>
      </c>
      <c r="C104" s="92" t="s">
        <v>116</v>
      </c>
      <c r="D104" s="92"/>
      <c r="E104" s="92"/>
      <c r="F104" s="161"/>
      <c r="G104" s="162"/>
      <c r="H104" s="163"/>
      <c r="I104" s="92"/>
      <c r="J104" s="95">
        <f>J106</f>
        <v>0</v>
      </c>
      <c r="K104" s="95">
        <f>K106</f>
        <v>0</v>
      </c>
      <c r="L104" s="95">
        <v>0</v>
      </c>
      <c r="M104" s="95">
        <v>0</v>
      </c>
      <c r="N104" s="95">
        <v>0</v>
      </c>
      <c r="O104" s="95">
        <v>0</v>
      </c>
      <c r="P104" s="95">
        <f>SUM(P106:P107)</f>
        <v>2194700</v>
      </c>
      <c r="Q104" s="95">
        <f>SUM(Q106:Q107)</f>
        <v>1918418.56</v>
      </c>
      <c r="R104" s="95">
        <f t="shared" ref="R104:U104" si="58">R106</f>
        <v>2194700</v>
      </c>
      <c r="S104" s="95">
        <f t="shared" si="58"/>
        <v>2194695.92</v>
      </c>
      <c r="T104" s="95">
        <f t="shared" si="58"/>
        <v>0</v>
      </c>
      <c r="U104" s="95">
        <f t="shared" si="58"/>
        <v>0</v>
      </c>
      <c r="V104" s="78"/>
    </row>
    <row r="105" spans="1:26" ht="25.5">
      <c r="A105" s="190"/>
      <c r="B105" s="185"/>
      <c r="C105" s="86" t="s">
        <v>117</v>
      </c>
      <c r="D105" s="87"/>
      <c r="E105" s="87"/>
      <c r="F105" s="187"/>
      <c r="G105" s="188"/>
      <c r="H105" s="189"/>
      <c r="I105" s="89"/>
      <c r="J105" s="87"/>
      <c r="K105" s="87"/>
      <c r="L105" s="110"/>
      <c r="M105" s="110"/>
      <c r="N105" s="110"/>
      <c r="O105" s="110"/>
      <c r="P105" s="2"/>
      <c r="Q105" s="2"/>
      <c r="R105" s="88"/>
      <c r="S105" s="88"/>
      <c r="T105" s="88"/>
      <c r="U105" s="88"/>
      <c r="V105" s="78"/>
    </row>
    <row r="106" spans="1:26" ht="51" customHeight="1">
      <c r="A106" s="190"/>
      <c r="B106" s="186"/>
      <c r="C106" s="143" t="s">
        <v>109</v>
      </c>
      <c r="D106" s="144" t="s">
        <v>114</v>
      </c>
      <c r="E106" s="144" t="s">
        <v>118</v>
      </c>
      <c r="F106" s="191" t="s">
        <v>119</v>
      </c>
      <c r="G106" s="192"/>
      <c r="H106" s="193"/>
      <c r="I106" s="89">
        <v>243</v>
      </c>
      <c r="J106" s="132">
        <v>0</v>
      </c>
      <c r="K106" s="132">
        <v>0</v>
      </c>
      <c r="L106" s="110">
        <v>0</v>
      </c>
      <c r="M106" s="110">
        <v>0</v>
      </c>
      <c r="N106" s="110">
        <v>0</v>
      </c>
      <c r="O106" s="110">
        <v>0</v>
      </c>
      <c r="P106" s="2">
        <v>2194700</v>
      </c>
      <c r="Q106" s="2">
        <v>1918418.56</v>
      </c>
      <c r="R106" s="133">
        <v>2194700</v>
      </c>
      <c r="S106" s="133">
        <v>2194695.92</v>
      </c>
      <c r="T106" s="132">
        <v>0</v>
      </c>
      <c r="U106" s="132">
        <v>0</v>
      </c>
      <c r="V106" s="151" t="s">
        <v>130</v>
      </c>
    </row>
    <row r="107" spans="1:26">
      <c r="P107" s="109"/>
      <c r="Q107" s="109"/>
    </row>
    <row r="108" spans="1:26" s="24" customFormat="1" ht="16.5" customHeight="1">
      <c r="E108" s="25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7"/>
    </row>
    <row r="109" spans="1:26" s="24" customFormat="1" ht="71.25" customHeight="1">
      <c r="A109" s="28"/>
      <c r="B109" s="12" t="s">
        <v>127</v>
      </c>
      <c r="C109" s="148" t="s">
        <v>128</v>
      </c>
      <c r="D109" s="30"/>
      <c r="E109" s="31"/>
      <c r="F109" s="30"/>
      <c r="G109" s="30"/>
      <c r="H109" s="30"/>
      <c r="I109" s="30"/>
      <c r="J109" s="29"/>
      <c r="K109" s="29"/>
      <c r="L109" s="29"/>
      <c r="M109" s="29"/>
      <c r="N109" s="252"/>
      <c r="O109" s="252"/>
      <c r="P109" s="252"/>
      <c r="Q109" s="252"/>
      <c r="R109" s="252"/>
      <c r="S109" s="252"/>
      <c r="T109" s="252"/>
      <c r="U109" s="252"/>
      <c r="V109" s="252"/>
      <c r="W109" s="27"/>
    </row>
    <row r="110" spans="1:26" s="24" customFormat="1" ht="18.75">
      <c r="J110" s="29"/>
      <c r="K110" s="26"/>
      <c r="L110" s="26"/>
      <c r="M110" s="26"/>
      <c r="N110" s="252"/>
      <c r="O110" s="252"/>
      <c r="P110" s="252"/>
      <c r="Q110" s="252"/>
      <c r="R110" s="252"/>
      <c r="S110" s="252"/>
      <c r="T110" s="252"/>
      <c r="U110" s="252"/>
      <c r="V110" s="252"/>
      <c r="W110" s="27"/>
    </row>
    <row r="111" spans="1:26" s="24" customFormat="1">
      <c r="B111" s="147" t="s">
        <v>103</v>
      </c>
      <c r="C111" s="147"/>
      <c r="D111" s="147"/>
      <c r="E111" s="25"/>
      <c r="J111" s="26"/>
      <c r="K111" s="26"/>
      <c r="L111" s="26"/>
      <c r="M111" s="26"/>
      <c r="N111" s="252"/>
      <c r="O111" s="252"/>
      <c r="P111" s="252"/>
      <c r="Q111" s="252"/>
      <c r="R111" s="252"/>
      <c r="S111" s="252"/>
      <c r="T111" s="252"/>
      <c r="U111" s="252"/>
      <c r="V111" s="252"/>
      <c r="W111" s="27"/>
    </row>
    <row r="112" spans="1:26" s="24" customFormat="1">
      <c r="B112" s="147" t="s">
        <v>126</v>
      </c>
      <c r="C112" s="147"/>
      <c r="D112" s="147"/>
      <c r="E112" s="25"/>
      <c r="J112" s="26"/>
      <c r="K112" s="26"/>
      <c r="L112" s="26"/>
      <c r="M112" s="26"/>
      <c r="N112" s="252"/>
      <c r="O112" s="252"/>
      <c r="P112" s="252"/>
      <c r="Q112" s="252"/>
      <c r="R112" s="252"/>
      <c r="S112" s="252"/>
      <c r="T112" s="252"/>
      <c r="U112" s="252"/>
      <c r="V112" s="252"/>
      <c r="W112" s="27"/>
    </row>
    <row r="113" spans="5:23" s="24" customFormat="1">
      <c r="E113" s="25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7"/>
    </row>
    <row r="114" spans="5:23" s="24" customFormat="1">
      <c r="E114" s="25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7"/>
    </row>
    <row r="115" spans="5:23" s="24" customFormat="1">
      <c r="E115" s="25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7"/>
    </row>
    <row r="116" spans="5:23" s="24" customFormat="1">
      <c r="E116" s="25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7"/>
    </row>
    <row r="117" spans="5:23" s="24" customFormat="1">
      <c r="E117" s="25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7"/>
    </row>
    <row r="118" spans="5:23" s="24" customFormat="1">
      <c r="E118" s="25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7"/>
    </row>
  </sheetData>
  <mergeCells count="207">
    <mergeCell ref="N109:V112"/>
    <mergeCell ref="W89:W92"/>
    <mergeCell ref="F18:H18"/>
    <mergeCell ref="F19:H19"/>
    <mergeCell ref="B17:B19"/>
    <mergeCell ref="A17:A19"/>
    <mergeCell ref="F17:H17"/>
    <mergeCell ref="T7:U8"/>
    <mergeCell ref="F20:H20"/>
    <mergeCell ref="F22:H22"/>
    <mergeCell ref="B61:B63"/>
    <mergeCell ref="F61:H61"/>
    <mergeCell ref="F62:H62"/>
    <mergeCell ref="F63:H63"/>
    <mergeCell ref="B38:B40"/>
    <mergeCell ref="F38:H38"/>
    <mergeCell ref="F39:H39"/>
    <mergeCell ref="F40:H40"/>
    <mergeCell ref="A58:A60"/>
    <mergeCell ref="B58:B60"/>
    <mergeCell ref="F58:H58"/>
    <mergeCell ref="F59:H59"/>
    <mergeCell ref="F60:H60"/>
    <mergeCell ref="A20:A22"/>
    <mergeCell ref="F35:H35"/>
    <mergeCell ref="F36:H36"/>
    <mergeCell ref="F26:H26"/>
    <mergeCell ref="F27:H27"/>
    <mergeCell ref="F29:H29"/>
    <mergeCell ref="F30:H30"/>
    <mergeCell ref="F23:H23"/>
    <mergeCell ref="F24:H24"/>
    <mergeCell ref="F25:H25"/>
    <mergeCell ref="F28:H28"/>
    <mergeCell ref="A23:A25"/>
    <mergeCell ref="B23:B25"/>
    <mergeCell ref="A26:A28"/>
    <mergeCell ref="B26:B28"/>
    <mergeCell ref="B20:B22"/>
    <mergeCell ref="F45:H45"/>
    <mergeCell ref="F46:H46"/>
    <mergeCell ref="F47:H47"/>
    <mergeCell ref="A3:V3"/>
    <mergeCell ref="T1:V1"/>
    <mergeCell ref="T2:V2"/>
    <mergeCell ref="A14:A16"/>
    <mergeCell ref="B14:B16"/>
    <mergeCell ref="F14:H14"/>
    <mergeCell ref="F15:H15"/>
    <mergeCell ref="F16:H16"/>
    <mergeCell ref="J7:K8"/>
    <mergeCell ref="D7:D9"/>
    <mergeCell ref="E7:E9"/>
    <mergeCell ref="F7:H9"/>
    <mergeCell ref="I7:I9"/>
    <mergeCell ref="L8:M8"/>
    <mergeCell ref="N8:O8"/>
    <mergeCell ref="P8:Q8"/>
    <mergeCell ref="R8:S8"/>
    <mergeCell ref="L7:S7"/>
    <mergeCell ref="F12:H12"/>
    <mergeCell ref="U5:V5"/>
    <mergeCell ref="V7:V8"/>
    <mergeCell ref="V67:V70"/>
    <mergeCell ref="V71:V73"/>
    <mergeCell ref="V64:V66"/>
    <mergeCell ref="V61:V63"/>
    <mergeCell ref="V58:V60"/>
    <mergeCell ref="V55:V57"/>
    <mergeCell ref="V52:V54"/>
    <mergeCell ref="V14:V16"/>
    <mergeCell ref="V10:V13"/>
    <mergeCell ref="V49:V51"/>
    <mergeCell ref="V45:V47"/>
    <mergeCell ref="A6:A9"/>
    <mergeCell ref="B6:B9"/>
    <mergeCell ref="C6:C9"/>
    <mergeCell ref="D6:I6"/>
    <mergeCell ref="J6:V6"/>
    <mergeCell ref="A10:A13"/>
    <mergeCell ref="B10:B13"/>
    <mergeCell ref="F10:H10"/>
    <mergeCell ref="F11:H11"/>
    <mergeCell ref="F13:H13"/>
    <mergeCell ref="A49:A51"/>
    <mergeCell ref="A52:A54"/>
    <mergeCell ref="B52:B54"/>
    <mergeCell ref="F52:H52"/>
    <mergeCell ref="F54:H54"/>
    <mergeCell ref="A61:A63"/>
    <mergeCell ref="F49:H49"/>
    <mergeCell ref="F50:H50"/>
    <mergeCell ref="C47:C48"/>
    <mergeCell ref="F48:H48"/>
    <mergeCell ref="A45:A48"/>
    <mergeCell ref="B45:B48"/>
    <mergeCell ref="B49:B51"/>
    <mergeCell ref="A55:A57"/>
    <mergeCell ref="B55:B57"/>
    <mergeCell ref="F55:H55"/>
    <mergeCell ref="F56:H56"/>
    <mergeCell ref="F57:H57"/>
    <mergeCell ref="F53:H53"/>
    <mergeCell ref="F51:H51"/>
    <mergeCell ref="A29:A31"/>
    <mergeCell ref="B29:B31"/>
    <mergeCell ref="A35:A37"/>
    <mergeCell ref="V80:V82"/>
    <mergeCell ref="F81:H81"/>
    <mergeCell ref="F82:H82"/>
    <mergeCell ref="A74:A76"/>
    <mergeCell ref="B74:B76"/>
    <mergeCell ref="F76:H76"/>
    <mergeCell ref="B67:B70"/>
    <mergeCell ref="A67:A70"/>
    <mergeCell ref="C69:C70"/>
    <mergeCell ref="F67:H67"/>
    <mergeCell ref="F68:H68"/>
    <mergeCell ref="F69:H69"/>
    <mergeCell ref="F70:H70"/>
    <mergeCell ref="F75:H75"/>
    <mergeCell ref="V77:V79"/>
    <mergeCell ref="A71:A73"/>
    <mergeCell ref="B71:B73"/>
    <mergeCell ref="F71:H71"/>
    <mergeCell ref="F72:H72"/>
    <mergeCell ref="F73:H73"/>
    <mergeCell ref="A80:A82"/>
    <mergeCell ref="B80:B82"/>
    <mergeCell ref="F80:H80"/>
    <mergeCell ref="F77:H77"/>
    <mergeCell ref="V41:V44"/>
    <mergeCell ref="V35:V37"/>
    <mergeCell ref="V29:V31"/>
    <mergeCell ref="V26:V28"/>
    <mergeCell ref="V23:V25"/>
    <mergeCell ref="V20:V22"/>
    <mergeCell ref="V17:V19"/>
    <mergeCell ref="V38:V40"/>
    <mergeCell ref="A32:A34"/>
    <mergeCell ref="B32:B34"/>
    <mergeCell ref="F32:H32"/>
    <mergeCell ref="F33:H33"/>
    <mergeCell ref="F34:H34"/>
    <mergeCell ref="B35:B37"/>
    <mergeCell ref="A38:A40"/>
    <mergeCell ref="F43:H43"/>
    <mergeCell ref="F31:H31"/>
    <mergeCell ref="F37:H37"/>
    <mergeCell ref="F21:H21"/>
    <mergeCell ref="A41:A44"/>
    <mergeCell ref="B41:B44"/>
    <mergeCell ref="F41:H41"/>
    <mergeCell ref="F42:H42"/>
    <mergeCell ref="F44:H44"/>
    <mergeCell ref="B104:B106"/>
    <mergeCell ref="F104:H104"/>
    <mergeCell ref="F105:H105"/>
    <mergeCell ref="A104:A106"/>
    <mergeCell ref="F106:H106"/>
    <mergeCell ref="F94:H94"/>
    <mergeCell ref="F95:H95"/>
    <mergeCell ref="F96:H96"/>
    <mergeCell ref="F102:H102"/>
    <mergeCell ref="F97:H97"/>
    <mergeCell ref="F98:H98"/>
    <mergeCell ref="F99:H99"/>
    <mergeCell ref="F100:H100"/>
    <mergeCell ref="F101:H101"/>
    <mergeCell ref="B97:B103"/>
    <mergeCell ref="A97:A103"/>
    <mergeCell ref="C99:C103"/>
    <mergeCell ref="V89:V93"/>
    <mergeCell ref="V86:V88"/>
    <mergeCell ref="V83:V85"/>
    <mergeCell ref="A94:A96"/>
    <mergeCell ref="B94:B96"/>
    <mergeCell ref="A89:A93"/>
    <mergeCell ref="B89:B93"/>
    <mergeCell ref="C91:C93"/>
    <mergeCell ref="F103:H103"/>
    <mergeCell ref="A86:A88"/>
    <mergeCell ref="V97:V103"/>
    <mergeCell ref="F65:H65"/>
    <mergeCell ref="F66:H66"/>
    <mergeCell ref="A64:A66"/>
    <mergeCell ref="F91:H91"/>
    <mergeCell ref="F92:H92"/>
    <mergeCell ref="F93:H93"/>
    <mergeCell ref="F87:H87"/>
    <mergeCell ref="F88:H88"/>
    <mergeCell ref="B86:B88"/>
    <mergeCell ref="F86:H86"/>
    <mergeCell ref="B83:B85"/>
    <mergeCell ref="F83:H83"/>
    <mergeCell ref="F84:H84"/>
    <mergeCell ref="F85:H85"/>
    <mergeCell ref="A83:A85"/>
    <mergeCell ref="F74:H74"/>
    <mergeCell ref="B77:B79"/>
    <mergeCell ref="F89:H89"/>
    <mergeCell ref="F90:H90"/>
    <mergeCell ref="B64:B66"/>
    <mergeCell ref="F64:H64"/>
    <mergeCell ref="F78:H78"/>
    <mergeCell ref="F79:H79"/>
    <mergeCell ref="A77:A79"/>
  </mergeCells>
  <printOptions horizontalCentered="1"/>
  <pageMargins left="0.26" right="0" top="0.48" bottom="0" header="0" footer="0"/>
  <pageSetup paperSize="9" scale="53" fitToHeight="15" orientation="landscape" r:id="rId1"/>
  <rowBreaks count="2" manualBreakCount="2">
    <brk id="40" max="16383" man="1"/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5"/>
  <sheetViews>
    <sheetView tabSelected="1" topLeftCell="A4" zoomScale="120" zoomScaleNormal="120" zoomScaleSheetLayoutView="100" workbookViewId="0">
      <pane xSplit="3" ySplit="5" topLeftCell="K9" activePane="bottomRight" state="frozen"/>
      <selection activeCell="A4" sqref="A4"/>
      <selection pane="topRight" activeCell="D4" sqref="D4"/>
      <selection pane="bottomLeft" activeCell="A9" sqref="A9"/>
      <selection pane="bottomRight" activeCell="N21" sqref="N21"/>
    </sheetView>
  </sheetViews>
  <sheetFormatPr defaultColWidth="9.140625" defaultRowHeight="12.75"/>
  <cols>
    <col min="1" max="1" width="14.7109375" style="33" customWidth="1"/>
    <col min="2" max="2" width="27.28515625" style="33" customWidth="1"/>
    <col min="3" max="3" width="22.140625" style="33" customWidth="1"/>
    <col min="4" max="5" width="12.140625" style="33" customWidth="1"/>
    <col min="6" max="15" width="12.5703125" style="33" customWidth="1"/>
    <col min="16" max="16" width="25.42578125" style="33" customWidth="1"/>
    <col min="17" max="16384" width="9.140625" style="33"/>
  </cols>
  <sheetData>
    <row r="1" spans="1:16" ht="18.75">
      <c r="A1" s="32" t="s">
        <v>105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254" t="s">
        <v>70</v>
      </c>
      <c r="O1" s="254"/>
      <c r="P1" s="254"/>
    </row>
    <row r="2" spans="1:16" ht="51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259" t="s">
        <v>62</v>
      </c>
      <c r="N2" s="259"/>
      <c r="O2" s="259"/>
      <c r="P2" s="50"/>
    </row>
    <row r="3" spans="1:16" ht="42" customHeight="1">
      <c r="A3" s="255" t="s">
        <v>71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</row>
    <row r="4" spans="1:16" ht="21" customHeight="1">
      <c r="A4" s="256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</row>
    <row r="5" spans="1:16" ht="18.7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4"/>
      <c r="O5" s="34"/>
      <c r="P5" s="35" t="s">
        <v>64</v>
      </c>
    </row>
    <row r="6" spans="1:16">
      <c r="A6" s="257" t="s">
        <v>72</v>
      </c>
      <c r="B6" s="257" t="s">
        <v>73</v>
      </c>
      <c r="C6" s="257" t="s">
        <v>74</v>
      </c>
      <c r="D6" s="258" t="s">
        <v>92</v>
      </c>
      <c r="E6" s="258"/>
      <c r="F6" s="258" t="s">
        <v>93</v>
      </c>
      <c r="G6" s="258"/>
      <c r="H6" s="258"/>
      <c r="I6" s="258"/>
      <c r="J6" s="258"/>
      <c r="K6" s="258"/>
      <c r="L6" s="258"/>
      <c r="M6" s="258"/>
      <c r="N6" s="258" t="s">
        <v>53</v>
      </c>
      <c r="O6" s="258"/>
      <c r="P6" s="257" t="s">
        <v>75</v>
      </c>
    </row>
    <row r="7" spans="1:16" ht="13.5" customHeight="1">
      <c r="A7" s="257"/>
      <c r="B7" s="257"/>
      <c r="C7" s="257"/>
      <c r="D7" s="258"/>
      <c r="E7" s="258"/>
      <c r="F7" s="258" t="s">
        <v>76</v>
      </c>
      <c r="G7" s="258"/>
      <c r="H7" s="258" t="s">
        <v>77</v>
      </c>
      <c r="I7" s="258"/>
      <c r="J7" s="258" t="s">
        <v>54</v>
      </c>
      <c r="K7" s="258"/>
      <c r="L7" s="258" t="s">
        <v>55</v>
      </c>
      <c r="M7" s="258"/>
      <c r="N7" s="258"/>
      <c r="O7" s="258"/>
      <c r="P7" s="257"/>
    </row>
    <row r="8" spans="1:16" ht="13.5" thickBot="1">
      <c r="A8" s="233"/>
      <c r="B8" s="233"/>
      <c r="C8" s="233"/>
      <c r="D8" s="36" t="s">
        <v>56</v>
      </c>
      <c r="E8" s="36" t="s">
        <v>57</v>
      </c>
      <c r="F8" s="36" t="s">
        <v>56</v>
      </c>
      <c r="G8" s="36" t="s">
        <v>57</v>
      </c>
      <c r="H8" s="36" t="s">
        <v>56</v>
      </c>
      <c r="I8" s="36" t="s">
        <v>57</v>
      </c>
      <c r="J8" s="36" t="s">
        <v>56</v>
      </c>
      <c r="K8" s="36" t="s">
        <v>57</v>
      </c>
      <c r="L8" s="36" t="s">
        <v>56</v>
      </c>
      <c r="M8" s="36" t="s">
        <v>57</v>
      </c>
      <c r="N8" s="36">
        <v>2016</v>
      </c>
      <c r="O8" s="36">
        <v>2017</v>
      </c>
      <c r="P8" s="257"/>
    </row>
    <row r="9" spans="1:16" ht="15.75" customHeight="1">
      <c r="A9" s="266" t="s">
        <v>14</v>
      </c>
      <c r="B9" s="266" t="s">
        <v>91</v>
      </c>
      <c r="C9" s="63" t="s">
        <v>78</v>
      </c>
      <c r="D9" s="64">
        <f>D11+D12+D13+D14+D15</f>
        <v>337778101</v>
      </c>
      <c r="E9" s="64">
        <f t="shared" ref="E9" si="0">E11+E12+E13+E14+E15</f>
        <v>331844873.63999999</v>
      </c>
      <c r="F9" s="64">
        <f t="shared" ref="F9:O9" si="1">F11+F12+F13+F14+F15</f>
        <v>82004519.799999997</v>
      </c>
      <c r="G9" s="64">
        <f t="shared" si="1"/>
        <v>81449254.810000002</v>
      </c>
      <c r="H9" s="64">
        <f t="shared" si="1"/>
        <v>169422544.18000001</v>
      </c>
      <c r="I9" s="64">
        <f t="shared" si="1"/>
        <v>167116118.16000003</v>
      </c>
      <c r="J9" s="64">
        <f t="shared" si="1"/>
        <v>238023433.34</v>
      </c>
      <c r="K9" s="64">
        <f t="shared" si="1"/>
        <v>235320391.41</v>
      </c>
      <c r="L9" s="64">
        <f>L11+L12+L13+L14+L15</f>
        <v>350324870.84000003</v>
      </c>
      <c r="M9" s="64">
        <f t="shared" si="1"/>
        <v>349151394.84000003</v>
      </c>
      <c r="N9" s="64">
        <f t="shared" si="1"/>
        <v>334429812</v>
      </c>
      <c r="O9" s="67">
        <f t="shared" si="1"/>
        <v>333031012</v>
      </c>
      <c r="P9" s="221"/>
    </row>
    <row r="10" spans="1:16" ht="15.75" customHeight="1">
      <c r="A10" s="267"/>
      <c r="B10" s="267"/>
      <c r="C10" s="49" t="s">
        <v>79</v>
      </c>
      <c r="D10" s="37">
        <f t="shared" ref="D10:E10" si="2">D17+D24+D31+D38</f>
        <v>0</v>
      </c>
      <c r="E10" s="37">
        <f t="shared" si="2"/>
        <v>0</v>
      </c>
      <c r="F10" s="37">
        <f t="shared" ref="F10:O15" si="3">F17+F24+F31+F38</f>
        <v>0</v>
      </c>
      <c r="G10" s="37">
        <f t="shared" si="3"/>
        <v>0</v>
      </c>
      <c r="H10" s="37">
        <f t="shared" si="3"/>
        <v>0</v>
      </c>
      <c r="I10" s="37">
        <f t="shared" si="3"/>
        <v>0</v>
      </c>
      <c r="J10" s="37">
        <f t="shared" si="3"/>
        <v>0</v>
      </c>
      <c r="K10" s="37">
        <f t="shared" si="3"/>
        <v>0</v>
      </c>
      <c r="L10" s="37">
        <f t="shared" si="3"/>
        <v>0</v>
      </c>
      <c r="M10" s="37">
        <f t="shared" si="3"/>
        <v>0</v>
      </c>
      <c r="N10" s="37">
        <f t="shared" si="3"/>
        <v>0</v>
      </c>
      <c r="O10" s="68">
        <f t="shared" si="3"/>
        <v>0</v>
      </c>
      <c r="P10" s="222"/>
    </row>
    <row r="11" spans="1:16" ht="15.75" customHeight="1">
      <c r="A11" s="267"/>
      <c r="B11" s="267"/>
      <c r="C11" s="52" t="s">
        <v>80</v>
      </c>
      <c r="D11" s="59">
        <f t="shared" ref="D11:E11" si="4">D18+D25+D32+D39</f>
        <v>0</v>
      </c>
      <c r="E11" s="59">
        <f t="shared" si="4"/>
        <v>0</v>
      </c>
      <c r="F11" s="59">
        <f t="shared" si="3"/>
        <v>0</v>
      </c>
      <c r="G11" s="59">
        <f t="shared" si="3"/>
        <v>0</v>
      </c>
      <c r="H11" s="59">
        <f t="shared" si="3"/>
        <v>0</v>
      </c>
      <c r="I11" s="59">
        <f t="shared" si="3"/>
        <v>0</v>
      </c>
      <c r="J11" s="59">
        <f t="shared" si="3"/>
        <v>0</v>
      </c>
      <c r="K11" s="59">
        <f t="shared" si="3"/>
        <v>0</v>
      </c>
      <c r="L11" s="59">
        <f t="shared" si="3"/>
        <v>10400</v>
      </c>
      <c r="M11" s="59">
        <f t="shared" si="3"/>
        <v>10400</v>
      </c>
      <c r="N11" s="59">
        <f t="shared" si="3"/>
        <v>10400</v>
      </c>
      <c r="O11" s="69">
        <f t="shared" si="3"/>
        <v>11600</v>
      </c>
      <c r="P11" s="222"/>
    </row>
    <row r="12" spans="1:16" ht="15.75" customHeight="1">
      <c r="A12" s="267"/>
      <c r="B12" s="267"/>
      <c r="C12" s="52" t="s">
        <v>81</v>
      </c>
      <c r="D12" s="59">
        <f t="shared" ref="D12:E12" si="5">D19+D26+D33+D40</f>
        <v>357000</v>
      </c>
      <c r="E12" s="59">
        <f t="shared" si="5"/>
        <v>355200</v>
      </c>
      <c r="F12" s="59">
        <f t="shared" si="3"/>
        <v>575</v>
      </c>
      <c r="G12" s="59">
        <f t="shared" si="3"/>
        <v>0</v>
      </c>
      <c r="H12" s="59">
        <f t="shared" si="3"/>
        <v>80300</v>
      </c>
      <c r="I12" s="59">
        <f t="shared" si="3"/>
        <v>0</v>
      </c>
      <c r="J12" s="59">
        <f t="shared" si="3"/>
        <v>80300</v>
      </c>
      <c r="K12" s="59">
        <f t="shared" si="3"/>
        <v>80300</v>
      </c>
      <c r="L12" s="59">
        <f t="shared" si="3"/>
        <v>175400</v>
      </c>
      <c r="M12" s="59">
        <f t="shared" si="3"/>
        <v>175400</v>
      </c>
      <c r="N12" s="59">
        <f t="shared" si="3"/>
        <v>0</v>
      </c>
      <c r="O12" s="69">
        <f t="shared" si="3"/>
        <v>0</v>
      </c>
      <c r="P12" s="222"/>
    </row>
    <row r="13" spans="1:16" ht="15.75" customHeight="1">
      <c r="A13" s="267"/>
      <c r="B13" s="267"/>
      <c r="C13" s="52" t="s">
        <v>82</v>
      </c>
      <c r="D13" s="59">
        <f t="shared" ref="D13:E13" si="6">D20+D27+D34+D41</f>
        <v>0</v>
      </c>
      <c r="E13" s="59">
        <f t="shared" si="6"/>
        <v>0</v>
      </c>
      <c r="F13" s="59">
        <f t="shared" si="3"/>
        <v>0</v>
      </c>
      <c r="G13" s="59">
        <f t="shared" si="3"/>
        <v>0</v>
      </c>
      <c r="H13" s="59">
        <f t="shared" si="3"/>
        <v>0</v>
      </c>
      <c r="I13" s="59">
        <f t="shared" si="3"/>
        <v>0</v>
      </c>
      <c r="J13" s="59">
        <f t="shared" si="3"/>
        <v>0</v>
      </c>
      <c r="K13" s="59">
        <f t="shared" si="3"/>
        <v>0</v>
      </c>
      <c r="L13" s="59">
        <f t="shared" si="3"/>
        <v>0</v>
      </c>
      <c r="M13" s="59">
        <f t="shared" si="3"/>
        <v>0</v>
      </c>
      <c r="N13" s="59">
        <f t="shared" si="3"/>
        <v>0</v>
      </c>
      <c r="O13" s="69">
        <f t="shared" si="3"/>
        <v>0</v>
      </c>
      <c r="P13" s="222"/>
    </row>
    <row r="14" spans="1:16" ht="15.75" customHeight="1">
      <c r="A14" s="267"/>
      <c r="B14" s="267"/>
      <c r="C14" s="52" t="s">
        <v>83</v>
      </c>
      <c r="D14" s="59">
        <f t="shared" ref="D14:E14" si="7">D21+D28+D35+D42</f>
        <v>337421101</v>
      </c>
      <c r="E14" s="59">
        <f t="shared" si="7"/>
        <v>331489673.63999999</v>
      </c>
      <c r="F14" s="59">
        <f t="shared" si="3"/>
        <v>82003944.799999997</v>
      </c>
      <c r="G14" s="59">
        <f t="shared" si="3"/>
        <v>81449254.810000002</v>
      </c>
      <c r="H14" s="59">
        <f t="shared" si="3"/>
        <v>169342244.18000001</v>
      </c>
      <c r="I14" s="59">
        <f t="shared" si="3"/>
        <v>167116118.16000003</v>
      </c>
      <c r="J14" s="59">
        <f t="shared" si="3"/>
        <v>237943133.34</v>
      </c>
      <c r="K14" s="59">
        <f t="shared" si="3"/>
        <v>235240091.41</v>
      </c>
      <c r="L14" s="59">
        <f t="shared" si="3"/>
        <v>350139070.84000003</v>
      </c>
      <c r="M14" s="59">
        <f t="shared" si="3"/>
        <v>348965594.84000003</v>
      </c>
      <c r="N14" s="59">
        <f t="shared" si="3"/>
        <v>334419412</v>
      </c>
      <c r="O14" s="69">
        <f t="shared" si="3"/>
        <v>333019412</v>
      </c>
      <c r="P14" s="222"/>
    </row>
    <row r="15" spans="1:16" ht="15.75" customHeight="1" thickBot="1">
      <c r="A15" s="268"/>
      <c r="B15" s="268"/>
      <c r="C15" s="65" t="s">
        <v>84</v>
      </c>
      <c r="D15" s="66">
        <f t="shared" ref="D15:E15" si="8">D22+D29+D36+D43</f>
        <v>0</v>
      </c>
      <c r="E15" s="66">
        <f t="shared" si="8"/>
        <v>0</v>
      </c>
      <c r="F15" s="66">
        <f t="shared" si="3"/>
        <v>0</v>
      </c>
      <c r="G15" s="66">
        <f t="shared" si="3"/>
        <v>0</v>
      </c>
      <c r="H15" s="66">
        <f t="shared" si="3"/>
        <v>0</v>
      </c>
      <c r="I15" s="66">
        <f t="shared" si="3"/>
        <v>0</v>
      </c>
      <c r="J15" s="66">
        <f t="shared" si="3"/>
        <v>0</v>
      </c>
      <c r="K15" s="66">
        <f t="shared" si="3"/>
        <v>0</v>
      </c>
      <c r="L15" s="66">
        <f t="shared" si="3"/>
        <v>0</v>
      </c>
      <c r="M15" s="66">
        <f t="shared" si="3"/>
        <v>0</v>
      </c>
      <c r="N15" s="66">
        <f t="shared" si="3"/>
        <v>0</v>
      </c>
      <c r="O15" s="66">
        <f t="shared" si="3"/>
        <v>0</v>
      </c>
      <c r="P15" s="269"/>
    </row>
    <row r="16" spans="1:16" ht="15.75" customHeight="1">
      <c r="A16" s="260" t="s">
        <v>9</v>
      </c>
      <c r="B16" s="260" t="s">
        <v>10</v>
      </c>
      <c r="C16" s="61" t="s">
        <v>78</v>
      </c>
      <c r="D16" s="60">
        <f t="shared" ref="D16:E16" si="9">SUM(D18:D22)</f>
        <v>66509618</v>
      </c>
      <c r="E16" s="60">
        <f t="shared" si="9"/>
        <v>65581589.310000002</v>
      </c>
      <c r="F16" s="60">
        <f t="shared" ref="F16:M16" si="10">SUM(F18:F22)</f>
        <v>16372830</v>
      </c>
      <c r="G16" s="60">
        <f t="shared" si="10"/>
        <v>16372830</v>
      </c>
      <c r="H16" s="60">
        <f t="shared" si="10"/>
        <v>31988580</v>
      </c>
      <c r="I16" s="60">
        <f t="shared" si="10"/>
        <v>31908280</v>
      </c>
      <c r="J16" s="60">
        <f t="shared" si="10"/>
        <v>46311480</v>
      </c>
      <c r="K16" s="60">
        <f t="shared" si="10"/>
        <v>46309980</v>
      </c>
      <c r="L16" s="60">
        <f t="shared" si="10"/>
        <v>62588189</v>
      </c>
      <c r="M16" s="60">
        <f t="shared" si="10"/>
        <v>62588189</v>
      </c>
      <c r="N16" s="60">
        <f>SUM(N17:N22)</f>
        <v>62968742</v>
      </c>
      <c r="O16" s="60">
        <f>SUM(O17:O22)</f>
        <v>62969942</v>
      </c>
      <c r="P16" s="270"/>
    </row>
    <row r="17" spans="1:18" ht="15.75" customHeight="1">
      <c r="A17" s="204"/>
      <c r="B17" s="204"/>
      <c r="C17" s="6" t="s">
        <v>79</v>
      </c>
      <c r="D17" s="37"/>
      <c r="E17" s="41"/>
      <c r="F17" s="40"/>
      <c r="G17" s="40"/>
      <c r="H17" s="40"/>
      <c r="I17" s="40"/>
      <c r="J17" s="40"/>
      <c r="K17" s="40"/>
      <c r="L17" s="37"/>
      <c r="M17" s="41"/>
      <c r="N17" s="37"/>
      <c r="O17" s="37"/>
      <c r="P17" s="270"/>
    </row>
    <row r="18" spans="1:18" ht="15.75" customHeight="1">
      <c r="A18" s="204"/>
      <c r="B18" s="204"/>
      <c r="C18" s="6" t="s">
        <v>80</v>
      </c>
      <c r="D18" s="37"/>
      <c r="E18" s="41"/>
      <c r="F18" s="40"/>
      <c r="G18" s="40"/>
      <c r="H18" s="40"/>
      <c r="I18" s="40"/>
      <c r="J18" s="40"/>
      <c r="K18" s="40"/>
      <c r="L18" s="37">
        <f>11600-1200</f>
        <v>10400</v>
      </c>
      <c r="M18" s="41">
        <v>10400</v>
      </c>
      <c r="N18" s="37">
        <f>11600-1200</f>
        <v>10400</v>
      </c>
      <c r="O18" s="37">
        <v>11600</v>
      </c>
      <c r="P18" s="270"/>
    </row>
    <row r="19" spans="1:18" ht="15.75" customHeight="1">
      <c r="A19" s="204"/>
      <c r="B19" s="204"/>
      <c r="C19" s="6" t="s">
        <v>81</v>
      </c>
      <c r="D19" s="37">
        <v>153400</v>
      </c>
      <c r="E19" s="41">
        <v>153400</v>
      </c>
      <c r="F19" s="40">
        <v>0</v>
      </c>
      <c r="G19" s="40">
        <v>0</v>
      </c>
      <c r="H19" s="40">
        <f>107100-26800</f>
        <v>80300</v>
      </c>
      <c r="I19" s="40">
        <v>0</v>
      </c>
      <c r="J19" s="40">
        <f>107100-26800</f>
        <v>80300</v>
      </c>
      <c r="K19" s="40">
        <v>80300</v>
      </c>
      <c r="L19" s="40">
        <v>175400</v>
      </c>
      <c r="M19" s="41">
        <v>175400</v>
      </c>
      <c r="N19" s="37">
        <v>0</v>
      </c>
      <c r="O19" s="37">
        <v>0</v>
      </c>
      <c r="P19" s="270"/>
    </row>
    <row r="20" spans="1:18" ht="15.75" customHeight="1">
      <c r="A20" s="204"/>
      <c r="B20" s="204"/>
      <c r="C20" s="6" t="s">
        <v>82</v>
      </c>
      <c r="D20" s="37"/>
      <c r="E20" s="41"/>
      <c r="F20" s="40"/>
      <c r="G20" s="40"/>
      <c r="H20" s="40"/>
      <c r="I20" s="40"/>
      <c r="J20" s="40"/>
      <c r="K20" s="40"/>
      <c r="L20" s="37"/>
      <c r="M20" s="41"/>
      <c r="N20" s="37"/>
      <c r="O20" s="37"/>
      <c r="P20" s="270"/>
    </row>
    <row r="21" spans="1:18" ht="15.75" customHeight="1">
      <c r="A21" s="204"/>
      <c r="B21" s="204"/>
      <c r="C21" s="6" t="s">
        <v>83</v>
      </c>
      <c r="D21" s="42">
        <v>66356218</v>
      </c>
      <c r="E21" s="43">
        <v>65428189.310000002</v>
      </c>
      <c r="F21" s="40">
        <v>16372830</v>
      </c>
      <c r="G21" s="40">
        <v>16372830</v>
      </c>
      <c r="H21" s="40">
        <f>32153850+26780-272350</f>
        <v>31908280</v>
      </c>
      <c r="I21" s="40">
        <v>31908280</v>
      </c>
      <c r="J21" s="40">
        <f>46881850+26780-272350-406600+1500</f>
        <v>46231180</v>
      </c>
      <c r="K21" s="40">
        <v>46229680</v>
      </c>
      <c r="L21" s="42">
        <v>62402389</v>
      </c>
      <c r="M21" s="43">
        <v>62402389</v>
      </c>
      <c r="N21" s="42">
        <v>62958342</v>
      </c>
      <c r="O21" s="43">
        <v>62958342</v>
      </c>
      <c r="P21" s="270"/>
    </row>
    <row r="22" spans="1:18" ht="15.75" customHeight="1" thickBot="1">
      <c r="A22" s="261"/>
      <c r="B22" s="261"/>
      <c r="C22" s="38" t="s">
        <v>84</v>
      </c>
      <c r="D22" s="39"/>
      <c r="E22" s="45"/>
      <c r="F22" s="44"/>
      <c r="G22" s="44"/>
      <c r="H22" s="44"/>
      <c r="I22" s="44"/>
      <c r="J22" s="44"/>
      <c r="K22" s="44"/>
      <c r="L22" s="39"/>
      <c r="M22" s="45"/>
      <c r="N22" s="39"/>
      <c r="O22" s="39"/>
      <c r="P22" s="271"/>
    </row>
    <row r="23" spans="1:18" ht="15.75" customHeight="1">
      <c r="A23" s="260" t="s">
        <v>12</v>
      </c>
      <c r="B23" s="260" t="s">
        <v>41</v>
      </c>
      <c r="C23" s="57" t="s">
        <v>78</v>
      </c>
      <c r="D23" s="58">
        <f t="shared" ref="D23:E23" si="11">SUM(D25:D29)</f>
        <v>174123319</v>
      </c>
      <c r="E23" s="58">
        <f t="shared" si="11"/>
        <v>169903929.03999999</v>
      </c>
      <c r="F23" s="58">
        <f t="shared" ref="F23:O23" si="12">SUM(F25:F29)</f>
        <v>41613770</v>
      </c>
      <c r="G23" s="58">
        <f t="shared" si="12"/>
        <v>41240670</v>
      </c>
      <c r="H23" s="58">
        <f t="shared" si="12"/>
        <v>82950860</v>
      </c>
      <c r="I23" s="58">
        <f t="shared" si="12"/>
        <v>80974485</v>
      </c>
      <c r="J23" s="58">
        <f t="shared" si="12"/>
        <v>120306796.16</v>
      </c>
      <c r="K23" s="58">
        <f t="shared" si="12"/>
        <v>118284701.16</v>
      </c>
      <c r="L23" s="58">
        <f t="shared" si="12"/>
        <v>192448993.84</v>
      </c>
      <c r="M23" s="58">
        <f t="shared" si="12"/>
        <v>191398319.81999999</v>
      </c>
      <c r="N23" s="58">
        <f t="shared" si="12"/>
        <v>177359688</v>
      </c>
      <c r="O23" s="72">
        <f t="shared" si="12"/>
        <v>175959688</v>
      </c>
      <c r="P23" s="262" t="s">
        <v>106</v>
      </c>
    </row>
    <row r="24" spans="1:18" ht="15.75" customHeight="1">
      <c r="A24" s="204"/>
      <c r="B24" s="204"/>
      <c r="C24" s="6" t="s">
        <v>79</v>
      </c>
      <c r="D24" s="37"/>
      <c r="E24" s="41"/>
      <c r="F24" s="40"/>
      <c r="G24" s="40"/>
      <c r="H24" s="40"/>
      <c r="I24" s="40"/>
      <c r="J24" s="40"/>
      <c r="K24" s="40"/>
      <c r="L24" s="37"/>
      <c r="M24" s="41"/>
      <c r="N24" s="46"/>
      <c r="O24" s="73"/>
      <c r="P24" s="272"/>
      <c r="R24" s="76"/>
    </row>
    <row r="25" spans="1:18" ht="15.75" customHeight="1">
      <c r="A25" s="204"/>
      <c r="B25" s="204"/>
      <c r="C25" s="6" t="s">
        <v>80</v>
      </c>
      <c r="D25" s="37"/>
      <c r="E25" s="41"/>
      <c r="F25" s="40"/>
      <c r="G25" s="40"/>
      <c r="H25" s="40"/>
      <c r="I25" s="40"/>
      <c r="J25" s="40"/>
      <c r="K25" s="40"/>
      <c r="L25" s="37"/>
      <c r="M25" s="41"/>
      <c r="N25" s="37"/>
      <c r="O25" s="68"/>
      <c r="P25" s="272"/>
    </row>
    <row r="26" spans="1:18" ht="15.75" customHeight="1">
      <c r="A26" s="204"/>
      <c r="B26" s="204"/>
      <c r="C26" s="6" t="s">
        <v>81</v>
      </c>
      <c r="D26" s="37">
        <v>200000</v>
      </c>
      <c r="E26" s="41">
        <v>200000</v>
      </c>
      <c r="F26" s="40"/>
      <c r="G26" s="40"/>
      <c r="H26" s="40"/>
      <c r="I26" s="40"/>
      <c r="J26" s="40"/>
      <c r="K26" s="40"/>
      <c r="L26" s="37"/>
      <c r="M26" s="41"/>
      <c r="N26" s="37"/>
      <c r="O26" s="68"/>
      <c r="P26" s="272"/>
    </row>
    <row r="27" spans="1:18" ht="15.75" customHeight="1">
      <c r="A27" s="204"/>
      <c r="B27" s="204"/>
      <c r="C27" s="6" t="s">
        <v>82</v>
      </c>
      <c r="D27" s="37"/>
      <c r="E27" s="41"/>
      <c r="F27" s="40"/>
      <c r="G27" s="40"/>
      <c r="H27" s="40"/>
      <c r="I27" s="40"/>
      <c r="J27" s="40"/>
      <c r="K27" s="40"/>
      <c r="L27" s="37"/>
      <c r="M27" s="41"/>
      <c r="N27" s="37"/>
      <c r="O27" s="68"/>
      <c r="P27" s="272"/>
    </row>
    <row r="28" spans="1:18" ht="15.75" customHeight="1">
      <c r="A28" s="204"/>
      <c r="B28" s="204"/>
      <c r="C28" s="6" t="s">
        <v>83</v>
      </c>
      <c r="D28" s="37">
        <v>173923319</v>
      </c>
      <c r="E28" s="41">
        <v>169703929.03999999</v>
      </c>
      <c r="F28" s="40">
        <v>41613770</v>
      </c>
      <c r="G28" s="40">
        <v>41240670</v>
      </c>
      <c r="H28" s="40">
        <v>82950860</v>
      </c>
      <c r="I28" s="40">
        <v>80974485</v>
      </c>
      <c r="J28" s="40">
        <f>125444415-28280-2431740-3093260+415661.16</f>
        <v>120306796.16</v>
      </c>
      <c r="K28" s="40">
        <v>118284701.16</v>
      </c>
      <c r="L28" s="37">
        <v>192448993.84</v>
      </c>
      <c r="M28" s="41">
        <v>191398319.81999999</v>
      </c>
      <c r="N28" s="37">
        <v>177359688</v>
      </c>
      <c r="O28" s="68">
        <v>175959688</v>
      </c>
      <c r="P28" s="272"/>
    </row>
    <row r="29" spans="1:18" ht="15.6" customHeight="1" thickBot="1">
      <c r="A29" s="261"/>
      <c r="B29" s="261"/>
      <c r="C29" s="38" t="s">
        <v>84</v>
      </c>
      <c r="D29" s="39"/>
      <c r="E29" s="45"/>
      <c r="F29" s="44"/>
      <c r="G29" s="44"/>
      <c r="H29" s="44"/>
      <c r="I29" s="44"/>
      <c r="J29" s="44"/>
      <c r="K29" s="44"/>
      <c r="L29" s="39"/>
      <c r="M29" s="45"/>
      <c r="N29" s="39"/>
      <c r="O29" s="74"/>
      <c r="P29" s="273"/>
    </row>
    <row r="30" spans="1:18" ht="15.75" customHeight="1">
      <c r="A30" s="260" t="s">
        <v>13</v>
      </c>
      <c r="B30" s="260" t="s">
        <v>16</v>
      </c>
      <c r="C30" s="57" t="s">
        <v>78</v>
      </c>
      <c r="D30" s="58">
        <f t="shared" ref="D30:E30" si="13">SUM(D32:D36)</f>
        <v>90386119</v>
      </c>
      <c r="E30" s="58">
        <f t="shared" si="13"/>
        <v>89701060.290000007</v>
      </c>
      <c r="F30" s="58">
        <f t="shared" ref="F30:O30" si="14">SUM(F32:F36)</f>
        <v>22492710</v>
      </c>
      <c r="G30" s="58">
        <f t="shared" si="14"/>
        <v>22399034.899999999</v>
      </c>
      <c r="H30" s="58">
        <f t="shared" si="14"/>
        <v>51253940</v>
      </c>
      <c r="I30" s="58">
        <f t="shared" si="14"/>
        <v>51155631.799999997</v>
      </c>
      <c r="J30" s="58">
        <f t="shared" si="14"/>
        <v>64498407</v>
      </c>
      <c r="K30" s="58">
        <f t="shared" si="14"/>
        <v>64359933.93</v>
      </c>
      <c r="L30" s="58">
        <f t="shared" si="14"/>
        <v>86605725</v>
      </c>
      <c r="M30" s="58">
        <f t="shared" si="14"/>
        <v>86594064.980000004</v>
      </c>
      <c r="N30" s="58">
        <f t="shared" si="14"/>
        <v>87564119</v>
      </c>
      <c r="O30" s="75">
        <f t="shared" si="14"/>
        <v>87564119</v>
      </c>
      <c r="P30" s="262" t="s">
        <v>107</v>
      </c>
    </row>
    <row r="31" spans="1:18" ht="15.75" customHeight="1">
      <c r="A31" s="204"/>
      <c r="B31" s="204"/>
      <c r="C31" s="6" t="s">
        <v>79</v>
      </c>
      <c r="D31" s="37"/>
      <c r="E31" s="41"/>
      <c r="F31" s="40"/>
      <c r="G31" s="40"/>
      <c r="H31" s="40"/>
      <c r="I31" s="40"/>
      <c r="J31" s="40"/>
      <c r="K31" s="40"/>
      <c r="L31" s="37"/>
      <c r="M31" s="41"/>
      <c r="N31" s="37"/>
      <c r="O31" s="68"/>
      <c r="P31" s="238"/>
    </row>
    <row r="32" spans="1:18" ht="15.75" customHeight="1">
      <c r="A32" s="204"/>
      <c r="B32" s="204"/>
      <c r="C32" s="6" t="s">
        <v>80</v>
      </c>
      <c r="D32" s="37"/>
      <c r="E32" s="41"/>
      <c r="F32" s="40"/>
      <c r="G32" s="40"/>
      <c r="H32" s="40"/>
      <c r="I32" s="40"/>
      <c r="J32" s="40"/>
      <c r="K32" s="40"/>
      <c r="L32" s="37"/>
      <c r="M32" s="41"/>
      <c r="N32" s="37"/>
      <c r="O32" s="68"/>
      <c r="P32" s="238"/>
    </row>
    <row r="33" spans="1:22" ht="15.75" customHeight="1">
      <c r="A33" s="204"/>
      <c r="B33" s="204"/>
      <c r="C33" s="6" t="s">
        <v>81</v>
      </c>
      <c r="D33" s="37"/>
      <c r="E33" s="41"/>
      <c r="F33" s="40"/>
      <c r="G33" s="40"/>
      <c r="H33" s="40"/>
      <c r="I33" s="40"/>
      <c r="J33" s="40"/>
      <c r="K33" s="40"/>
      <c r="L33" s="37"/>
      <c r="M33" s="41"/>
      <c r="N33" s="37"/>
      <c r="O33" s="68"/>
      <c r="P33" s="238"/>
      <c r="R33" s="76"/>
    </row>
    <row r="34" spans="1:22" ht="15.75" customHeight="1">
      <c r="A34" s="204"/>
      <c r="B34" s="204"/>
      <c r="C34" s="6" t="s">
        <v>82</v>
      </c>
      <c r="D34" s="37"/>
      <c r="E34" s="41"/>
      <c r="F34" s="40"/>
      <c r="G34" s="40"/>
      <c r="H34" s="40"/>
      <c r="I34" s="40"/>
      <c r="J34" s="40"/>
      <c r="K34" s="40"/>
      <c r="L34" s="37"/>
      <c r="M34" s="41"/>
      <c r="N34" s="37"/>
      <c r="O34" s="68"/>
      <c r="P34" s="238"/>
    </row>
    <row r="35" spans="1:22" ht="15.75" customHeight="1">
      <c r="A35" s="204"/>
      <c r="B35" s="204"/>
      <c r="C35" s="6" t="s">
        <v>83</v>
      </c>
      <c r="D35" s="37">
        <v>90386119</v>
      </c>
      <c r="E35" s="41">
        <v>89701060.290000007</v>
      </c>
      <c r="F35" s="40">
        <v>22492710</v>
      </c>
      <c r="G35" s="40">
        <v>22399034.899999999</v>
      </c>
      <c r="H35" s="40">
        <f>51582940-339000+10000</f>
        <v>51253940</v>
      </c>
      <c r="I35" s="40">
        <v>51155631.799999997</v>
      </c>
      <c r="J35" s="40">
        <f>65113110-339000-408000-43703+176000</f>
        <v>64498407</v>
      </c>
      <c r="K35" s="40">
        <v>64359933.93</v>
      </c>
      <c r="L35" s="37">
        <v>86605725</v>
      </c>
      <c r="M35" s="41">
        <v>86594064.980000004</v>
      </c>
      <c r="N35" s="37">
        <v>87564119</v>
      </c>
      <c r="O35" s="68">
        <v>87564119</v>
      </c>
      <c r="P35" s="238"/>
    </row>
    <row r="36" spans="1:22" ht="15.75" customHeight="1" thickBot="1">
      <c r="A36" s="261"/>
      <c r="B36" s="261"/>
      <c r="C36" s="38" t="s">
        <v>84</v>
      </c>
      <c r="D36" s="39"/>
      <c r="E36" s="45"/>
      <c r="F36" s="44"/>
      <c r="G36" s="44"/>
      <c r="H36" s="44"/>
      <c r="I36" s="44"/>
      <c r="J36" s="44"/>
      <c r="K36" s="44"/>
      <c r="L36" s="39"/>
      <c r="M36" s="45"/>
      <c r="N36" s="39"/>
      <c r="O36" s="74"/>
      <c r="P36" s="263"/>
    </row>
    <row r="37" spans="1:22" ht="15.75" customHeight="1">
      <c r="A37" s="260" t="s">
        <v>85</v>
      </c>
      <c r="B37" s="260" t="s">
        <v>86</v>
      </c>
      <c r="C37" s="57" t="s">
        <v>78</v>
      </c>
      <c r="D37" s="58">
        <f t="shared" ref="D37:O37" si="15">SUM(D39:D43)</f>
        <v>6759045</v>
      </c>
      <c r="E37" s="58">
        <f t="shared" si="15"/>
        <v>6658295</v>
      </c>
      <c r="F37" s="62">
        <f t="shared" si="15"/>
        <v>1525209.8</v>
      </c>
      <c r="G37" s="62">
        <f t="shared" si="15"/>
        <v>1436719.91</v>
      </c>
      <c r="H37" s="62">
        <f t="shared" si="15"/>
        <v>3229164.18</v>
      </c>
      <c r="I37" s="62">
        <f t="shared" si="15"/>
        <v>3077721.36</v>
      </c>
      <c r="J37" s="62">
        <f t="shared" si="15"/>
        <v>6906750.1799999997</v>
      </c>
      <c r="K37" s="62">
        <f t="shared" si="15"/>
        <v>6365776.3200000003</v>
      </c>
      <c r="L37" s="58">
        <f t="shared" si="15"/>
        <v>8681963</v>
      </c>
      <c r="M37" s="58">
        <f>M42</f>
        <v>8570821.0399999991</v>
      </c>
      <c r="N37" s="58">
        <f t="shared" si="15"/>
        <v>6537263</v>
      </c>
      <c r="O37" s="75">
        <f t="shared" si="15"/>
        <v>6537263</v>
      </c>
      <c r="P37" s="264"/>
    </row>
    <row r="38" spans="1:22" ht="15.75" customHeight="1">
      <c r="A38" s="204"/>
      <c r="B38" s="204"/>
      <c r="C38" s="6" t="s">
        <v>79</v>
      </c>
      <c r="D38" s="37"/>
      <c r="E38" s="41"/>
      <c r="F38" s="40"/>
      <c r="G38" s="40"/>
      <c r="H38" s="40"/>
      <c r="I38" s="40"/>
      <c r="J38" s="40"/>
      <c r="K38" s="40"/>
      <c r="L38" s="37"/>
      <c r="M38" s="41"/>
      <c r="N38" s="37"/>
      <c r="O38" s="68"/>
      <c r="P38" s="264"/>
    </row>
    <row r="39" spans="1:22" ht="15.75" customHeight="1">
      <c r="A39" s="204"/>
      <c r="B39" s="204"/>
      <c r="C39" s="6" t="s">
        <v>80</v>
      </c>
      <c r="D39" s="37"/>
      <c r="E39" s="41"/>
      <c r="F39" s="40"/>
      <c r="G39" s="40"/>
      <c r="H39" s="40"/>
      <c r="I39" s="40"/>
      <c r="J39" s="40"/>
      <c r="K39" s="40"/>
      <c r="L39" s="37"/>
      <c r="M39" s="41"/>
      <c r="N39" s="37"/>
      <c r="O39" s="68"/>
      <c r="P39" s="264"/>
    </row>
    <row r="40" spans="1:22" ht="15.75" customHeight="1">
      <c r="A40" s="204"/>
      <c r="B40" s="204"/>
      <c r="C40" s="6" t="s">
        <v>81</v>
      </c>
      <c r="D40" s="37">
        <v>3600</v>
      </c>
      <c r="E40" s="41">
        <v>1800</v>
      </c>
      <c r="F40" s="40">
        <v>575</v>
      </c>
      <c r="G40" s="40">
        <v>0</v>
      </c>
      <c r="H40" s="40"/>
      <c r="I40" s="40"/>
      <c r="J40" s="40"/>
      <c r="K40" s="40"/>
      <c r="L40" s="37"/>
      <c r="M40" s="41"/>
      <c r="N40" s="37"/>
      <c r="O40" s="68"/>
      <c r="P40" s="264"/>
    </row>
    <row r="41" spans="1:22" ht="15.75" customHeight="1">
      <c r="A41" s="204"/>
      <c r="B41" s="204"/>
      <c r="C41" s="6" t="s">
        <v>82</v>
      </c>
      <c r="D41" s="46"/>
      <c r="E41" s="41"/>
      <c r="F41" s="40"/>
      <c r="G41" s="40"/>
      <c r="H41" s="40"/>
      <c r="I41" s="40"/>
      <c r="J41" s="40"/>
      <c r="K41" s="40"/>
      <c r="L41" s="46"/>
      <c r="M41" s="41"/>
      <c r="N41" s="46"/>
      <c r="O41" s="73"/>
      <c r="P41" s="264"/>
    </row>
    <row r="42" spans="1:22" ht="15.75" customHeight="1">
      <c r="A42" s="204"/>
      <c r="B42" s="204"/>
      <c r="C42" s="6" t="s">
        <v>83</v>
      </c>
      <c r="D42" s="37">
        <v>6755445</v>
      </c>
      <c r="E42" s="41">
        <v>6656495</v>
      </c>
      <c r="F42" s="40">
        <v>1524634.8</v>
      </c>
      <c r="G42" s="40">
        <v>1436719.91</v>
      </c>
      <c r="H42" s="40">
        <v>3229164.18</v>
      </c>
      <c r="I42" s="40">
        <v>3077721.36</v>
      </c>
      <c r="J42" s="40">
        <v>6906750.1799999997</v>
      </c>
      <c r="K42" s="40">
        <v>6365776.3200000003</v>
      </c>
      <c r="L42" s="37">
        <v>8681963</v>
      </c>
      <c r="M42" s="41">
        <v>8570821.0399999991</v>
      </c>
      <c r="N42" s="37">
        <v>6537263</v>
      </c>
      <c r="O42" s="68">
        <v>6537263</v>
      </c>
      <c r="P42" s="264"/>
    </row>
    <row r="43" spans="1:22" ht="15.75" customHeight="1">
      <c r="A43" s="205"/>
      <c r="B43" s="205"/>
      <c r="C43" s="6" t="s">
        <v>84</v>
      </c>
      <c r="D43" s="37"/>
      <c r="E43" s="41"/>
      <c r="F43" s="40"/>
      <c r="G43" s="40"/>
      <c r="H43" s="40"/>
      <c r="I43" s="40"/>
      <c r="J43" s="40"/>
      <c r="K43" s="40"/>
      <c r="L43" s="37"/>
      <c r="M43" s="41"/>
      <c r="N43" s="37"/>
      <c r="O43" s="68"/>
      <c r="P43" s="265"/>
    </row>
    <row r="44" spans="1:22">
      <c r="D44" s="47"/>
      <c r="E44" s="47"/>
      <c r="F44" s="47"/>
      <c r="G44" s="47"/>
      <c r="H44" s="71"/>
      <c r="I44" s="47"/>
      <c r="J44" s="47"/>
      <c r="K44" s="47"/>
      <c r="L44" s="48"/>
      <c r="M44" s="48"/>
      <c r="N44" s="48"/>
      <c r="O44" s="48"/>
      <c r="P44" s="48"/>
    </row>
    <row r="45" spans="1:22">
      <c r="D45" s="47"/>
      <c r="E45" s="47"/>
      <c r="F45" s="47"/>
      <c r="G45" s="47"/>
      <c r="H45" s="47"/>
      <c r="I45" s="47"/>
      <c r="J45" s="47"/>
      <c r="K45" s="47"/>
      <c r="L45" s="48"/>
      <c r="M45" s="48"/>
      <c r="N45" s="48"/>
      <c r="O45" s="48"/>
      <c r="P45" s="48"/>
    </row>
    <row r="46" spans="1:22" s="24" customFormat="1" ht="51" customHeight="1">
      <c r="A46" s="28"/>
      <c r="B46" s="12" t="s">
        <v>129</v>
      </c>
      <c r="C46" s="147" t="s">
        <v>128</v>
      </c>
      <c r="D46" s="149"/>
      <c r="E46" s="150"/>
      <c r="F46" s="28"/>
      <c r="G46" s="28"/>
      <c r="H46" s="28"/>
      <c r="I46" s="28"/>
      <c r="J46" s="29"/>
      <c r="K46" s="29"/>
      <c r="L46" s="29"/>
      <c r="M46" s="29"/>
      <c r="N46" s="252"/>
      <c r="O46" s="252"/>
      <c r="P46" s="252"/>
      <c r="Q46" s="252"/>
      <c r="R46" s="252"/>
      <c r="S46" s="252"/>
      <c r="T46" s="252"/>
      <c r="U46" s="252"/>
      <c r="V46" s="252"/>
    </row>
    <row r="47" spans="1:22" s="24" customFormat="1" ht="18.75">
      <c r="B47" s="147"/>
      <c r="C47" s="147"/>
      <c r="D47" s="145"/>
      <c r="E47" s="146"/>
      <c r="F47" s="145"/>
      <c r="G47" s="29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</row>
    <row r="48" spans="1:22" s="24" customFormat="1" ht="15.75">
      <c r="B48" s="147"/>
      <c r="C48" s="147"/>
      <c r="E48" s="25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</row>
    <row r="49" spans="2:22" s="24" customFormat="1" ht="15.75">
      <c r="B49" s="147" t="s">
        <v>103</v>
      </c>
      <c r="C49" s="147"/>
      <c r="E49" s="25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</row>
    <row r="50" spans="2:22" s="24" customFormat="1" ht="15.75">
      <c r="B50" s="147" t="s">
        <v>126</v>
      </c>
      <c r="C50" s="147"/>
      <c r="E50" s="25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</row>
    <row r="51" spans="2:22" s="24" customFormat="1" ht="15.75">
      <c r="E51" s="25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</row>
    <row r="52" spans="2:22"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</row>
    <row r="53" spans="2:22" ht="106.5" customHeight="1">
      <c r="D53" s="48"/>
      <c r="E53" s="48"/>
      <c r="F53" s="48"/>
      <c r="G53" s="48"/>
      <c r="H53" s="48"/>
      <c r="I53" s="48"/>
      <c r="J53" s="48"/>
      <c r="K53" s="48"/>
    </row>
    <row r="55" spans="2:22"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</sheetData>
  <mergeCells count="31">
    <mergeCell ref="A9:A15"/>
    <mergeCell ref="B9:B15"/>
    <mergeCell ref="P9:P15"/>
    <mergeCell ref="P16:P22"/>
    <mergeCell ref="P23:P29"/>
    <mergeCell ref="A37:A43"/>
    <mergeCell ref="B37:B43"/>
    <mergeCell ref="N46:V46"/>
    <mergeCell ref="A16:A22"/>
    <mergeCell ref="B16:B22"/>
    <mergeCell ref="A23:A29"/>
    <mergeCell ref="B23:B29"/>
    <mergeCell ref="A30:A36"/>
    <mergeCell ref="B30:B36"/>
    <mergeCell ref="P30:P36"/>
    <mergeCell ref="P37:P43"/>
    <mergeCell ref="N1:P1"/>
    <mergeCell ref="A3:P3"/>
    <mergeCell ref="A4:P4"/>
    <mergeCell ref="A6:A8"/>
    <mergeCell ref="B6:B8"/>
    <mergeCell ref="C6:C8"/>
    <mergeCell ref="D6:E7"/>
    <mergeCell ref="F6:M6"/>
    <mergeCell ref="N6:O7"/>
    <mergeCell ref="P6:P8"/>
    <mergeCell ref="F7:G7"/>
    <mergeCell ref="H7:I7"/>
    <mergeCell ref="J7:K7"/>
    <mergeCell ref="L7:M7"/>
    <mergeCell ref="M2:O2"/>
  </mergeCells>
  <printOptions horizontalCentered="1"/>
  <pageMargins left="0.25" right="0.19685039370078741" top="0.59055118110236227" bottom="0.19685039370078741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7</vt:lpstr>
      <vt:lpstr>Прил 8</vt:lpstr>
      <vt:lpstr>'Прил 7'!Заголовки_для_печати</vt:lpstr>
      <vt:lpstr>'Прил 8'!Область_печати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krikun</cp:lastModifiedBy>
  <cp:lastPrinted>2016-02-11T03:12:29Z</cp:lastPrinted>
  <dcterms:created xsi:type="dcterms:W3CDTF">2013-07-29T03:10:57Z</dcterms:created>
  <dcterms:modified xsi:type="dcterms:W3CDTF">2016-03-25T03:07:14Z</dcterms:modified>
</cp:coreProperties>
</file>